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s\My Web Sites\Muggaccinos\ATLSEIP\DefinedTerms\"/>
    </mc:Choice>
  </mc:AlternateContent>
  <bookViews>
    <workbookView xWindow="240" yWindow="45" windowWidth="15600" windowHeight="9240" firstSheet="10" activeTab="13"/>
  </bookViews>
  <sheets>
    <sheet name="Summary Costs &amp; Receipts" sheetId="7" r:id="rId1"/>
    <sheet name="Summary Budget item costs" sheetId="13" r:id="rId2"/>
    <sheet name="Budget item costs" sheetId="12" r:id="rId3"/>
    <sheet name="Student transport,accom,meals" sheetId="1" r:id="rId4"/>
    <sheet name="3Challenge,equip,cloth,computer" sheetId="2" r:id="rId5"/>
    <sheet name="Mentor flights,accom,meals" sheetId="4" r:id="rId6"/>
    <sheet name="20 Work Experience flight costs" sheetId="23" r:id="rId7"/>
    <sheet name="Out-of-pockets Three Judges" sheetId="5" r:id="rId8"/>
    <sheet name="Out-of-pockets 20 WOOs" sheetId="8" r:id="rId9"/>
    <sheet name="1stYearYoungCorpSponSportEmploy" sheetId="22" r:id="rId10"/>
    <sheet name="O-o-P_6_RegionlTeamsCo-ord" sheetId="9" r:id="rId11"/>
    <sheet name="2nd&amp;3rdYear_RegTeamCo-Ord" sheetId="21" r:id="rId12"/>
    <sheet name="10_LocalConnectorLabourCost" sheetId="20" r:id="rId13"/>
    <sheet name="Out-of-pockets_Local_Connectors" sheetId="11" r:id="rId14"/>
    <sheet name="Local_Connector_cameras" sheetId="24" r:id="rId15"/>
    <sheet name="Website Development" sheetId="10" r:id="rId16"/>
    <sheet name="1stYearTravelAccommMealsLabour" sheetId="6" r:id="rId17"/>
    <sheet name="2ndYearTravelAccommMealsLabour" sheetId="17" r:id="rId18"/>
    <sheet name="3rdYearTravelAccommMealsLabour" sheetId="18" r:id="rId19"/>
    <sheet name="All_Agg._Costs" sheetId="19" r:id="rId20"/>
  </sheets>
  <calcPr calcId="152511"/>
</workbook>
</file>

<file path=xl/calcChain.xml><?xml version="1.0" encoding="utf-8"?>
<calcChain xmlns="http://schemas.openxmlformats.org/spreadsheetml/2006/main">
  <c r="B7" i="11" l="1"/>
  <c r="AT7" i="7" l="1"/>
  <c r="AT6" i="7"/>
  <c r="AT19" i="7"/>
  <c r="AF19" i="7"/>
  <c r="AF18" i="7"/>
  <c r="AF6" i="7"/>
  <c r="D21" i="13"/>
  <c r="C21" i="13"/>
  <c r="A21" i="13"/>
  <c r="F6" i="24"/>
  <c r="F5" i="24"/>
  <c r="E5" i="24"/>
  <c r="F4" i="24"/>
  <c r="B11" i="7"/>
  <c r="B10" i="7"/>
  <c r="K6" i="7"/>
  <c r="AR6" i="7" l="1"/>
  <c r="X23" i="6" l="1"/>
  <c r="V17" i="18"/>
  <c r="Y30" i="6"/>
  <c r="C23" i="6"/>
  <c r="B23" i="6"/>
  <c r="C27" i="13"/>
  <c r="A27" i="13"/>
  <c r="AL19" i="7"/>
  <c r="AL16" i="7"/>
  <c r="AL18" i="7" s="1"/>
  <c r="F39" i="12"/>
  <c r="D52" i="19"/>
  <c r="C52" i="19"/>
  <c r="E4" i="23"/>
  <c r="I39" i="12" s="1"/>
  <c r="M2" i="7" l="1"/>
  <c r="G33" i="12"/>
  <c r="A23" i="13" l="1"/>
  <c r="F31" i="12" s="1"/>
  <c r="G9" i="22"/>
  <c r="G10" i="22" s="1"/>
  <c r="E10" i="22"/>
  <c r="J5" i="20"/>
  <c r="J6" i="20" s="1"/>
  <c r="A25" i="13"/>
  <c r="F33" i="12" s="1"/>
  <c r="G8" i="21"/>
  <c r="F9" i="21"/>
  <c r="F10" i="21" s="1"/>
  <c r="G9" i="21"/>
  <c r="G10" i="21" s="1"/>
  <c r="E9" i="21" l="1"/>
  <c r="K8" i="21"/>
  <c r="J8" i="21" l="1"/>
  <c r="L8" i="21" s="1"/>
  <c r="D9" i="21"/>
  <c r="E10" i="21"/>
  <c r="H9" i="21"/>
  <c r="K9" i="21"/>
  <c r="H8" i="21"/>
  <c r="L15" i="18"/>
  <c r="H15" i="18"/>
  <c r="L15" i="17"/>
  <c r="H15" i="17"/>
  <c r="J15" i="17" s="1"/>
  <c r="K10" i="21" l="1"/>
  <c r="K11" i="21" s="1"/>
  <c r="J9" i="21"/>
  <c r="J10" i="21"/>
  <c r="J15" i="18"/>
  <c r="W8" i="6"/>
  <c r="X8" i="6" s="1"/>
  <c r="L10" i="21" l="1"/>
  <c r="M10" i="21" s="1"/>
  <c r="H10" i="21"/>
  <c r="H11" i="21" s="1"/>
  <c r="L9" i="21"/>
  <c r="J11" i="21"/>
  <c r="A3" i="13"/>
  <c r="L11" i="21" l="1"/>
  <c r="M9" i="21"/>
  <c r="AI11" i="7" s="1"/>
  <c r="M11" i="21"/>
  <c r="AI16" i="7"/>
  <c r="D30" i="1"/>
  <c r="D19" i="1"/>
  <c r="D8" i="1"/>
  <c r="A5" i="2"/>
  <c r="AI19" i="7" l="1"/>
  <c r="C25" i="13"/>
  <c r="I33" i="12" s="1"/>
  <c r="AI18" i="7"/>
  <c r="F35" i="12"/>
  <c r="A19" i="13"/>
  <c r="K18" i="6"/>
  <c r="W18" i="6" s="1"/>
  <c r="G4" i="20"/>
  <c r="I4" i="20" s="1"/>
  <c r="K4" i="20" s="1"/>
  <c r="M4" i="20" s="1"/>
  <c r="Z6" i="7" s="1"/>
  <c r="U18" i="6" l="1"/>
  <c r="G5" i="20"/>
  <c r="G6" i="20" s="1"/>
  <c r="I6" i="20" s="1"/>
  <c r="K6" i="20" s="1"/>
  <c r="L5" i="20"/>
  <c r="L6" i="20" s="1"/>
  <c r="M6" i="20" l="1"/>
  <c r="I5" i="20"/>
  <c r="K5" i="20" s="1"/>
  <c r="M5" i="20" s="1"/>
  <c r="M8" i="20"/>
  <c r="K13" i="18"/>
  <c r="V13" i="18" s="1"/>
  <c r="K13" i="17"/>
  <c r="V5" i="17"/>
  <c r="W10" i="6"/>
  <c r="I13" i="18"/>
  <c r="J13" i="18" s="1"/>
  <c r="V13" i="17"/>
  <c r="I13" i="17"/>
  <c r="J13" i="17" s="1"/>
  <c r="T13" i="18" l="1"/>
  <c r="Z16" i="7"/>
  <c r="Z11" i="7"/>
  <c r="T13" i="17"/>
  <c r="I35" i="12"/>
  <c r="C19" i="13"/>
  <c r="AA20" i="6"/>
  <c r="Z19" i="7"/>
  <c r="X18" i="6"/>
  <c r="Y18" i="6" s="1"/>
  <c r="AA18" i="6" s="1"/>
  <c r="AA22" i="6" s="1"/>
  <c r="I18" i="6"/>
  <c r="J18" i="6" s="1"/>
  <c r="Z18" i="7" l="1"/>
  <c r="J17" i="17"/>
  <c r="A17" i="17"/>
  <c r="Q21" i="17"/>
  <c r="Q19" i="17"/>
  <c r="O19" i="17"/>
  <c r="R19" i="17" s="1"/>
  <c r="S19" i="17" s="1"/>
  <c r="T19" i="17" s="1"/>
  <c r="V21" i="17"/>
  <c r="X22" i="6" s="1"/>
  <c r="O21" i="17"/>
  <c r="H21" i="17"/>
  <c r="J21" i="17" s="1"/>
  <c r="H19" i="17"/>
  <c r="J19" i="17" s="1"/>
  <c r="E19" i="17"/>
  <c r="V19" i="17" s="1"/>
  <c r="X20" i="6" s="1"/>
  <c r="R21" i="17" l="1"/>
  <c r="S21" i="17" s="1"/>
  <c r="T21" i="17" s="1"/>
  <c r="V7" i="18"/>
  <c r="V5" i="18"/>
  <c r="X10" i="6" s="1"/>
  <c r="V3" i="18"/>
  <c r="W12" i="6"/>
  <c r="V7" i="17"/>
  <c r="V3" i="17"/>
  <c r="W6" i="6"/>
  <c r="W4" i="6"/>
  <c r="X4" i="6" s="1"/>
  <c r="X12" i="6" l="1"/>
  <c r="X6" i="6"/>
  <c r="N20" i="19"/>
  <c r="N19" i="19"/>
  <c r="G23" i="12"/>
  <c r="F23" i="12"/>
  <c r="F25" i="12"/>
  <c r="C6" i="11"/>
  <c r="C5" i="11"/>
  <c r="M4" i="6"/>
  <c r="I20" i="19"/>
  <c r="H21" i="19"/>
  <c r="H20" i="19"/>
  <c r="G21" i="19"/>
  <c r="C44" i="19"/>
  <c r="I6" i="6" l="1"/>
  <c r="C36" i="19" l="1"/>
  <c r="C34" i="19"/>
  <c r="C32" i="19"/>
  <c r="C30" i="19"/>
  <c r="A10" i="19"/>
  <c r="A8" i="19"/>
  <c r="A18" i="19"/>
  <c r="A16" i="19"/>
  <c r="A14" i="19"/>
  <c r="A12" i="19"/>
  <c r="A6" i="19"/>
  <c r="A4" i="19"/>
  <c r="A2" i="19"/>
  <c r="C48" i="19"/>
  <c r="I11" i="18" l="1"/>
  <c r="J11" i="18" s="1"/>
  <c r="M9" i="18"/>
  <c r="M11" i="18" s="1"/>
  <c r="J9" i="18"/>
  <c r="I9" i="18"/>
  <c r="J7" i="18"/>
  <c r="I7" i="18"/>
  <c r="H7" i="18"/>
  <c r="P5" i="18"/>
  <c r="P7" i="18" s="1"/>
  <c r="N5" i="18"/>
  <c r="N7" i="18" s="1"/>
  <c r="H5" i="18"/>
  <c r="J5" i="18" s="1"/>
  <c r="Q3" i="18"/>
  <c r="O3" i="18"/>
  <c r="R3" i="18" s="1"/>
  <c r="S3" i="18" s="1"/>
  <c r="T3" i="18" s="1"/>
  <c r="H3" i="18"/>
  <c r="J3" i="18" s="1"/>
  <c r="H5" i="17"/>
  <c r="J5" i="17" s="1"/>
  <c r="I11" i="17"/>
  <c r="J11" i="17" s="1"/>
  <c r="M9" i="17"/>
  <c r="M11" i="17" s="1"/>
  <c r="J9" i="17"/>
  <c r="I9" i="17"/>
  <c r="J7" i="17"/>
  <c r="I7" i="17"/>
  <c r="H7" i="17"/>
  <c r="Q3" i="17"/>
  <c r="P5" i="17"/>
  <c r="O3" i="17"/>
  <c r="N5" i="17"/>
  <c r="H3" i="17"/>
  <c r="J3" i="17" s="1"/>
  <c r="J14" i="6"/>
  <c r="I14" i="6"/>
  <c r="I16" i="6"/>
  <c r="J16" i="6" s="1"/>
  <c r="N14" i="6"/>
  <c r="J12" i="6"/>
  <c r="I12" i="6"/>
  <c r="H12" i="6"/>
  <c r="R6" i="6"/>
  <c r="R4" i="6"/>
  <c r="Q10" i="6"/>
  <c r="Q12" i="6" s="1"/>
  <c r="Q6" i="6"/>
  <c r="Q8" i="6" s="1"/>
  <c r="R8" i="6" s="1"/>
  <c r="P6" i="6"/>
  <c r="P4" i="6"/>
  <c r="S4" i="6" s="1"/>
  <c r="T4" i="6" s="1"/>
  <c r="U4" i="6" s="1"/>
  <c r="B4" i="19" s="1"/>
  <c r="O6" i="6"/>
  <c r="O8" i="6" s="1"/>
  <c r="P8" i="6" s="1"/>
  <c r="H6" i="6"/>
  <c r="J6" i="6" s="1"/>
  <c r="G4" i="6"/>
  <c r="H4" i="6" s="1"/>
  <c r="J4" i="6" s="1"/>
  <c r="L6" i="6"/>
  <c r="L8" i="6" s="1"/>
  <c r="S8" i="6" s="1"/>
  <c r="T8" i="6" s="1"/>
  <c r="U8" i="6" s="1"/>
  <c r="G6" i="6"/>
  <c r="G10" i="6"/>
  <c r="H10" i="6" s="1"/>
  <c r="J10" i="6" s="1"/>
  <c r="R12" i="6" l="1"/>
  <c r="Q14" i="6"/>
  <c r="S6" i="6"/>
  <c r="T6" i="6" s="1"/>
  <c r="M15" i="17"/>
  <c r="V11" i="17"/>
  <c r="F5" i="11"/>
  <c r="L10" i="6"/>
  <c r="N16" i="6"/>
  <c r="B10" i="19"/>
  <c r="U6" i="6"/>
  <c r="B6" i="19" s="1"/>
  <c r="O10" i="6"/>
  <c r="R10" i="6"/>
  <c r="O5" i="18"/>
  <c r="M15" i="18"/>
  <c r="V11" i="18"/>
  <c r="F6" i="11"/>
  <c r="Q5" i="18"/>
  <c r="O7" i="18"/>
  <c r="N9" i="18"/>
  <c r="N11" i="18" s="1"/>
  <c r="Q7" i="18"/>
  <c r="P9" i="18"/>
  <c r="O9" i="18"/>
  <c r="N7" i="17"/>
  <c r="O5" i="17"/>
  <c r="P7" i="17"/>
  <c r="Q5" i="17"/>
  <c r="R5" i="17"/>
  <c r="S5" i="17" s="1"/>
  <c r="T5" i="17" s="1"/>
  <c r="R3" i="17"/>
  <c r="S3" i="17" s="1"/>
  <c r="T3" i="17" s="1"/>
  <c r="P10" i="6" l="1"/>
  <c r="O12" i="6"/>
  <c r="N15" i="18"/>
  <c r="D6" i="11"/>
  <c r="V19" i="18"/>
  <c r="W16" i="6"/>
  <c r="W25" i="6" s="1"/>
  <c r="F4" i="11"/>
  <c r="V15" i="18"/>
  <c r="O15" i="18"/>
  <c r="L12" i="6"/>
  <c r="S10" i="6"/>
  <c r="T10" i="6" s="1"/>
  <c r="U10" i="6" s="1"/>
  <c r="O11" i="18"/>
  <c r="R5" i="18"/>
  <c r="S5" i="18" s="1"/>
  <c r="T5" i="18" s="1"/>
  <c r="X16" i="6"/>
  <c r="E4" i="11"/>
  <c r="Q16" i="6"/>
  <c r="R16" i="6" s="1"/>
  <c r="R14" i="6"/>
  <c r="V15" i="17"/>
  <c r="X2" i="6" s="1"/>
  <c r="B8" i="19"/>
  <c r="R7" i="18"/>
  <c r="S7" i="18" s="1"/>
  <c r="T7" i="18" s="1"/>
  <c r="Q9" i="18"/>
  <c r="R9" i="18" s="1"/>
  <c r="S9" i="18" s="1"/>
  <c r="T9" i="18" s="1"/>
  <c r="P11" i="18"/>
  <c r="P9" i="17"/>
  <c r="Q7" i="17"/>
  <c r="N9" i="17"/>
  <c r="O7" i="17"/>
  <c r="R7" i="17" s="1"/>
  <c r="S7" i="17" s="1"/>
  <c r="T7" i="17" s="1"/>
  <c r="X25" i="6" l="1"/>
  <c r="B12" i="19"/>
  <c r="G6" i="11"/>
  <c r="H6" i="11" s="1"/>
  <c r="Q26" i="19" s="1"/>
  <c r="Q11" i="18"/>
  <c r="R11" i="18" s="1"/>
  <c r="S11" i="18" s="1"/>
  <c r="T11" i="18" s="1"/>
  <c r="P15" i="18"/>
  <c r="Q15" i="18" s="1"/>
  <c r="R15" i="18" s="1"/>
  <c r="S15" i="18" s="1"/>
  <c r="T15" i="18" s="1"/>
  <c r="T19" i="18" s="1"/>
  <c r="E5" i="11"/>
  <c r="E6" i="11"/>
  <c r="L14" i="6"/>
  <c r="S12" i="6"/>
  <c r="T12" i="6" s="1"/>
  <c r="U12" i="6" s="1"/>
  <c r="B14" i="19" s="1"/>
  <c r="W27" i="6"/>
  <c r="O14" i="6"/>
  <c r="P12" i="6"/>
  <c r="V23" i="17"/>
  <c r="N11" i="17"/>
  <c r="O9" i="17"/>
  <c r="P11" i="17"/>
  <c r="Q9" i="17"/>
  <c r="K10" i="4"/>
  <c r="J10" i="4"/>
  <c r="K7" i="4"/>
  <c r="K5" i="4"/>
  <c r="J5" i="4"/>
  <c r="J7" i="4" s="1"/>
  <c r="G10" i="4"/>
  <c r="G7" i="4"/>
  <c r="G5" i="4"/>
  <c r="G5" i="5"/>
  <c r="G6" i="5" s="1"/>
  <c r="G7" i="5" s="1"/>
  <c r="G8" i="5" s="1"/>
  <c r="G9" i="5" s="1"/>
  <c r="G4" i="4"/>
  <c r="G6" i="4" s="1"/>
  <c r="G8" i="4" s="1"/>
  <c r="G11" i="4" s="1"/>
  <c r="U31" i="6" l="1"/>
  <c r="D26" i="19"/>
  <c r="Q11" i="17"/>
  <c r="P15" i="17"/>
  <c r="Q15" i="17" s="1"/>
  <c r="R15" i="17" s="1"/>
  <c r="S15" i="17" s="1"/>
  <c r="T15" i="17" s="1"/>
  <c r="U2" i="6" s="1"/>
  <c r="O11" i="17"/>
  <c r="N15" i="17"/>
  <c r="O15" i="17" s="1"/>
  <c r="D5" i="11"/>
  <c r="G5" i="11" s="1"/>
  <c r="H5" i="11" s="1"/>
  <c r="Q24" i="19" s="1"/>
  <c r="L16" i="6"/>
  <c r="O16" i="6"/>
  <c r="P14" i="6"/>
  <c r="S14" i="6" s="1"/>
  <c r="T14" i="6" s="1"/>
  <c r="U14" i="6" s="1"/>
  <c r="B16" i="19" s="1"/>
  <c r="X27" i="6"/>
  <c r="Z25" i="6"/>
  <c r="R9" i="17"/>
  <c r="S9" i="17" s="1"/>
  <c r="T9" i="17" s="1"/>
  <c r="R11" i="17" l="1"/>
  <c r="S11" i="17" s="1"/>
  <c r="T11" i="17" s="1"/>
  <c r="T23" i="17" s="1"/>
  <c r="D4" i="11"/>
  <c r="G4" i="11" s="1"/>
  <c r="H4" i="11" s="1"/>
  <c r="P16" i="6"/>
  <c r="S16" i="6" s="1"/>
  <c r="T16" i="6" s="1"/>
  <c r="U16" i="6" s="1"/>
  <c r="C4" i="11"/>
  <c r="G18" i="12"/>
  <c r="F15" i="12"/>
  <c r="F16" i="12" s="1"/>
  <c r="F17" i="12" s="1"/>
  <c r="F18" i="12" s="1"/>
  <c r="F19" i="12"/>
  <c r="A13" i="13" s="1"/>
  <c r="C46" i="19" s="1"/>
  <c r="B18" i="19" l="1"/>
  <c r="B20" i="19" s="1"/>
  <c r="U25" i="6"/>
  <c r="U30" i="6"/>
  <c r="D24" i="19"/>
  <c r="F20" i="12"/>
  <c r="H7" i="11"/>
  <c r="Q22" i="19"/>
  <c r="Q28" i="19" s="1"/>
  <c r="O6" i="9"/>
  <c r="H6" i="9"/>
  <c r="U29" i="6" l="1"/>
  <c r="U32" i="6" s="1"/>
  <c r="D22" i="19"/>
  <c r="D28" i="19" s="1"/>
  <c r="H15" i="12"/>
  <c r="K22" i="19"/>
  <c r="K28" i="19" s="1"/>
  <c r="O22" i="19"/>
  <c r="O28" i="19" s="1"/>
  <c r="H18" i="12"/>
  <c r="C17" i="13"/>
  <c r="I23" i="12"/>
  <c r="A31" i="13"/>
  <c r="C50" i="19" s="1"/>
  <c r="L5" i="11"/>
  <c r="L7" i="11" s="1"/>
  <c r="H27" i="12" s="1"/>
  <c r="L6" i="11"/>
  <c r="L4" i="11"/>
  <c r="P45" i="12" l="1"/>
  <c r="B22" i="12"/>
  <c r="C38" i="19" s="1"/>
  <c r="L43" i="12"/>
  <c r="G21" i="12"/>
  <c r="G20" i="12"/>
  <c r="G19" i="12"/>
  <c r="F21" i="12"/>
  <c r="F37" i="12"/>
  <c r="A29" i="13" s="1"/>
  <c r="G29" i="12"/>
  <c r="G25" i="12"/>
  <c r="N4" i="11"/>
  <c r="J4" i="11"/>
  <c r="D4" i="8"/>
  <c r="G12" i="12"/>
  <c r="G11" i="12"/>
  <c r="F12" i="12"/>
  <c r="F11" i="12"/>
  <c r="A9" i="13" s="1"/>
  <c r="C40" i="19" s="1"/>
  <c r="F9" i="12"/>
  <c r="F5" i="12"/>
  <c r="A5" i="13" s="1"/>
  <c r="F8" i="12"/>
  <c r="A7" i="13" s="1"/>
  <c r="O4" i="11" l="1"/>
  <c r="L45" i="12"/>
  <c r="C56" i="19"/>
  <c r="F29" i="12"/>
  <c r="F27" i="12"/>
  <c r="A15" i="13"/>
  <c r="C42" i="19" s="1"/>
  <c r="F6" i="12"/>
  <c r="G6" i="12"/>
  <c r="G9" i="12" s="1"/>
  <c r="G5" i="12"/>
  <c r="A15" i="12"/>
  <c r="I5" i="11" l="1"/>
  <c r="M5" i="11"/>
  <c r="N5" i="11" s="1"/>
  <c r="I6" i="11" l="1"/>
  <c r="J6" i="11" s="1"/>
  <c r="J5" i="11"/>
  <c r="O5" i="11" s="1"/>
  <c r="M6" i="11"/>
  <c r="N6" i="11" s="1"/>
  <c r="N7" i="11" s="1"/>
  <c r="H25" i="12" s="1"/>
  <c r="W6" i="7"/>
  <c r="B6" i="10"/>
  <c r="B8" i="10" s="1"/>
  <c r="AO16" i="7" s="1"/>
  <c r="AO6" i="7"/>
  <c r="U8" i="9"/>
  <c r="T8" i="9"/>
  <c r="S8" i="9"/>
  <c r="O6" i="11" l="1"/>
  <c r="W8" i="9"/>
  <c r="T11" i="7" s="1"/>
  <c r="S10" i="9"/>
  <c r="U10" i="9"/>
  <c r="U13" i="9" s="1"/>
  <c r="H21" i="12" s="1"/>
  <c r="T10" i="9"/>
  <c r="T13" i="9" s="1"/>
  <c r="H20" i="12" s="1"/>
  <c r="S13" i="9"/>
  <c r="W16" i="7"/>
  <c r="W11" i="7"/>
  <c r="J7" i="11"/>
  <c r="H29" i="12" s="1"/>
  <c r="I29" i="12" s="1"/>
  <c r="B10" i="10"/>
  <c r="AO11" i="7"/>
  <c r="AO18" i="7" s="1"/>
  <c r="A34" i="1"/>
  <c r="A23" i="1"/>
  <c r="C5" i="8"/>
  <c r="D5" i="8" s="1"/>
  <c r="W15" i="9" l="1"/>
  <c r="H19" i="12"/>
  <c r="D48" i="19"/>
  <c r="I37" i="12"/>
  <c r="C29" i="13" s="1"/>
  <c r="AO19" i="7"/>
  <c r="W18" i="7"/>
  <c r="W10" i="9"/>
  <c r="T16" i="7" s="1"/>
  <c r="O7" i="11"/>
  <c r="W19" i="7" s="1"/>
  <c r="C15" i="13"/>
  <c r="D42" i="19" s="1"/>
  <c r="C6" i="8"/>
  <c r="E4" i="8"/>
  <c r="F4" i="8" s="1"/>
  <c r="G4" i="8" s="1"/>
  <c r="E5" i="5"/>
  <c r="D6" i="8" l="1"/>
  <c r="E6" i="5"/>
  <c r="E7" i="5" s="1"/>
  <c r="E8" i="5" s="1"/>
  <c r="E9" i="5" s="1"/>
  <c r="I6" i="9"/>
  <c r="J6" i="9" s="1"/>
  <c r="K6" i="9" s="1"/>
  <c r="E5" i="8"/>
  <c r="F5" i="8" s="1"/>
  <c r="Q6" i="7"/>
  <c r="I4" i="4"/>
  <c r="C6" i="7"/>
  <c r="AW16" i="7"/>
  <c r="AV16" i="7"/>
  <c r="AR16" i="7" s="1"/>
  <c r="J5" i="7"/>
  <c r="M5" i="7" s="1"/>
  <c r="P5" i="7" s="1"/>
  <c r="S5" i="7" s="1"/>
  <c r="V5" i="7" s="1"/>
  <c r="AW11" i="7"/>
  <c r="AV11" i="7"/>
  <c r="AR11" i="7" s="1"/>
  <c r="J19" i="7"/>
  <c r="AX6" i="7"/>
  <c r="AX11" i="7" s="1"/>
  <c r="J4" i="7"/>
  <c r="B4" i="7"/>
  <c r="B5" i="7"/>
  <c r="B15" i="7"/>
  <c r="B16" i="7"/>
  <c r="F13" i="4"/>
  <c r="H6" i="4"/>
  <c r="H11" i="4"/>
  <c r="L10" i="4"/>
  <c r="I10" i="4"/>
  <c r="H10" i="4"/>
  <c r="F10" i="4"/>
  <c r="E10" i="4"/>
  <c r="C10" i="4"/>
  <c r="E11" i="4"/>
  <c r="E8" i="4"/>
  <c r="E6" i="4"/>
  <c r="H8" i="4"/>
  <c r="L7" i="4"/>
  <c r="I7" i="4"/>
  <c r="H7" i="4"/>
  <c r="C7" i="4"/>
  <c r="F5" i="4"/>
  <c r="F7" i="4" s="1"/>
  <c r="E5" i="4"/>
  <c r="E7" i="4" s="1"/>
  <c r="C5" i="4"/>
  <c r="C16" i="7"/>
  <c r="B23" i="1"/>
  <c r="AR18" i="7" l="1"/>
  <c r="G5" i="8"/>
  <c r="AN5" i="7"/>
  <c r="Y5" i="7"/>
  <c r="AB5" i="7" s="1"/>
  <c r="AH5" i="7" s="1"/>
  <c r="J11" i="4"/>
  <c r="K11" i="4" s="1"/>
  <c r="H16" i="12"/>
  <c r="M22" i="19"/>
  <c r="M28" i="19" s="1"/>
  <c r="I8" i="4"/>
  <c r="F9" i="22" s="1"/>
  <c r="L4" i="4"/>
  <c r="J4" i="4"/>
  <c r="K4" i="4" s="1"/>
  <c r="F5" i="5"/>
  <c r="D7" i="8"/>
  <c r="H12" i="12" s="1"/>
  <c r="AX16" i="7"/>
  <c r="AY19" i="7" s="1"/>
  <c r="AR19" i="7"/>
  <c r="E6" i="8"/>
  <c r="F6" i="8" s="1"/>
  <c r="G6" i="8" s="1"/>
  <c r="Q11" i="7"/>
  <c r="I11" i="4"/>
  <c r="L16" i="4" s="1"/>
  <c r="F11" i="4"/>
  <c r="F16" i="4" s="1"/>
  <c r="D5" i="5"/>
  <c r="L13" i="4"/>
  <c r="I6" i="4"/>
  <c r="J6" i="4" s="1"/>
  <c r="K6" i="4" s="1"/>
  <c r="F6" i="4"/>
  <c r="L6" i="4" s="1"/>
  <c r="F8" i="4"/>
  <c r="D9" i="22" s="1"/>
  <c r="F10" i="22" l="1"/>
  <c r="K9" i="22"/>
  <c r="H9" i="22"/>
  <c r="I12" i="12"/>
  <c r="C9" i="13" s="1"/>
  <c r="D40" i="19" s="1"/>
  <c r="J8" i="4"/>
  <c r="K8" i="4" s="1"/>
  <c r="L6" i="9"/>
  <c r="M6" i="9" s="1"/>
  <c r="N6" i="9" s="1"/>
  <c r="K5" i="5"/>
  <c r="F6" i="5"/>
  <c r="L15" i="4"/>
  <c r="F7" i="8"/>
  <c r="H11" i="12" s="1"/>
  <c r="J9" i="22"/>
  <c r="D10" i="22"/>
  <c r="J10" i="22" s="1"/>
  <c r="M13" i="4"/>
  <c r="J5" i="5"/>
  <c r="D6" i="9"/>
  <c r="E6" i="9" s="1"/>
  <c r="J22" i="19" s="1"/>
  <c r="K44" i="12"/>
  <c r="C31" i="13" s="1"/>
  <c r="D50" i="19" s="1"/>
  <c r="AY22" i="7"/>
  <c r="Q16" i="7"/>
  <c r="Q18" i="7" s="1"/>
  <c r="D6" i="5"/>
  <c r="H5" i="5"/>
  <c r="M16" i="4"/>
  <c r="L11" i="4"/>
  <c r="K11" i="7" s="1"/>
  <c r="L14" i="4"/>
  <c r="L17" i="4" s="1"/>
  <c r="H6" i="12" s="1"/>
  <c r="L8" i="4"/>
  <c r="K16" i="7" s="1"/>
  <c r="F14" i="4"/>
  <c r="F15" i="4"/>
  <c r="H17" i="12" l="1"/>
  <c r="N22" i="19"/>
  <c r="N28" i="19" s="1"/>
  <c r="M15" i="4"/>
  <c r="J11" i="22"/>
  <c r="L9" i="22"/>
  <c r="L22" i="19"/>
  <c r="J28" i="19"/>
  <c r="F7" i="5"/>
  <c r="K6" i="5"/>
  <c r="K10" i="22"/>
  <c r="K11" i="22" s="1"/>
  <c r="H10" i="22"/>
  <c r="H11" i="22" s="1"/>
  <c r="K18" i="7"/>
  <c r="F17" i="4"/>
  <c r="H14" i="12"/>
  <c r="I21" i="12" s="1"/>
  <c r="P6" i="9"/>
  <c r="L5" i="5"/>
  <c r="D7" i="5"/>
  <c r="J6" i="5"/>
  <c r="L6" i="5" s="1"/>
  <c r="H6" i="5"/>
  <c r="M14" i="4"/>
  <c r="M11" i="4"/>
  <c r="K19" i="7" s="1"/>
  <c r="K33" i="2"/>
  <c r="L33" i="2" s="1"/>
  <c r="C22" i="12" s="1"/>
  <c r="D38" i="19" s="1"/>
  <c r="L27" i="2"/>
  <c r="K19" i="2"/>
  <c r="K13" i="2"/>
  <c r="L5" i="2"/>
  <c r="A11" i="2"/>
  <c r="L11" i="2" s="1"/>
  <c r="A6" i="2"/>
  <c r="A12" i="2" s="1"/>
  <c r="A18" i="2" s="1"/>
  <c r="L18" i="2" s="1"/>
  <c r="C36" i="1"/>
  <c r="D36" i="1" s="1"/>
  <c r="H26" i="19" s="1"/>
  <c r="C34" i="1"/>
  <c r="D34" i="1" s="1"/>
  <c r="G26" i="19" s="1"/>
  <c r="C11" i="7"/>
  <c r="C25" i="1"/>
  <c r="D25" i="1" s="1"/>
  <c r="H24" i="19" s="1"/>
  <c r="C23" i="1"/>
  <c r="D23" i="1" s="1"/>
  <c r="C12" i="1"/>
  <c r="D12" i="1" s="1"/>
  <c r="G22" i="19" s="1"/>
  <c r="C14" i="1"/>
  <c r="D14" i="1" s="1"/>
  <c r="L10" i="22" l="1"/>
  <c r="I26" i="19"/>
  <c r="S26" i="19" s="1"/>
  <c r="M17" i="4"/>
  <c r="L11" i="22"/>
  <c r="F8" i="5"/>
  <c r="K7" i="5"/>
  <c r="L28" i="19"/>
  <c r="P22" i="19"/>
  <c r="P28" i="19" s="1"/>
  <c r="C18" i="7"/>
  <c r="E25" i="1"/>
  <c r="G24" i="19"/>
  <c r="I24" i="19" s="1"/>
  <c r="S24" i="19" s="1"/>
  <c r="C7" i="12"/>
  <c r="H22" i="19"/>
  <c r="H28" i="19" s="1"/>
  <c r="I22" i="19"/>
  <c r="E36" i="1"/>
  <c r="M18" i="4"/>
  <c r="H5" i="12"/>
  <c r="I6" i="12" s="1"/>
  <c r="E14" i="1"/>
  <c r="C5" i="12"/>
  <c r="W6" i="9"/>
  <c r="C11" i="13"/>
  <c r="D44" i="19" s="1"/>
  <c r="D8" i="5"/>
  <c r="J7" i="5"/>
  <c r="L7" i="5" s="1"/>
  <c r="H7" i="5"/>
  <c r="N6" i="7"/>
  <c r="A7" i="2"/>
  <c r="A13" i="2" s="1"/>
  <c r="A19" i="2" s="1"/>
  <c r="L19" i="2" s="1"/>
  <c r="N19" i="2" s="1"/>
  <c r="A17" i="2"/>
  <c r="A24" i="2" s="1"/>
  <c r="A31" i="2" s="1"/>
  <c r="L31" i="2" s="1"/>
  <c r="G7" i="8"/>
  <c r="Q19" i="7" s="1"/>
  <c r="C26" i="1"/>
  <c r="C15" i="1"/>
  <c r="L6" i="2"/>
  <c r="M6" i="2" s="1"/>
  <c r="L12" i="2"/>
  <c r="M12" i="2" s="1"/>
  <c r="C37" i="1"/>
  <c r="A25" i="2" l="1"/>
  <c r="A26" i="2" s="1"/>
  <c r="L26" i="2" s="1"/>
  <c r="F9" i="5"/>
  <c r="K9" i="5" s="1"/>
  <c r="K8" i="5"/>
  <c r="AC19" i="7"/>
  <c r="AC6" i="7"/>
  <c r="AC18" i="7" s="1"/>
  <c r="C23" i="13"/>
  <c r="I31" i="12" s="1"/>
  <c r="C5" i="13"/>
  <c r="C16" i="19"/>
  <c r="G28" i="19"/>
  <c r="I28" i="19"/>
  <c r="S22" i="19"/>
  <c r="T6" i="7"/>
  <c r="T18" i="7" s="1"/>
  <c r="W13" i="9"/>
  <c r="T19" i="7" s="1"/>
  <c r="W11" i="9"/>
  <c r="C13" i="13" s="1"/>
  <c r="D46" i="19" s="1"/>
  <c r="L7" i="2"/>
  <c r="N7" i="2" s="1"/>
  <c r="M33" i="2"/>
  <c r="O33" i="2" s="1"/>
  <c r="H16" i="7" s="1"/>
  <c r="C20" i="12"/>
  <c r="D36" i="19" s="1"/>
  <c r="L24" i="2"/>
  <c r="L17" i="2"/>
  <c r="D9" i="5"/>
  <c r="J8" i="5"/>
  <c r="H8" i="5"/>
  <c r="N11" i="7" s="1"/>
  <c r="L13" i="2"/>
  <c r="N13" i="2" s="1"/>
  <c r="D15" i="1"/>
  <c r="D26" i="1"/>
  <c r="D37" i="1"/>
  <c r="L25" i="2"/>
  <c r="L8" i="5" l="1"/>
  <c r="K10" i="5"/>
  <c r="H9" i="12" s="1"/>
  <c r="O13" i="2"/>
  <c r="N22" i="2"/>
  <c r="C13" i="12"/>
  <c r="O7" i="2"/>
  <c r="O19" i="2"/>
  <c r="M18" i="2"/>
  <c r="M22" i="2" s="1"/>
  <c r="Q21" i="2" s="1"/>
  <c r="J9" i="5"/>
  <c r="H9" i="5"/>
  <c r="N16" i="7" s="1"/>
  <c r="N18" i="7" s="1"/>
  <c r="E37" i="1"/>
  <c r="C19" i="7" s="1"/>
  <c r="M27" i="2"/>
  <c r="AT16" i="7" l="1"/>
  <c r="AT17" i="7"/>
  <c r="D30" i="19"/>
  <c r="C41" i="12"/>
  <c r="M36" i="2"/>
  <c r="H19" i="7" s="1"/>
  <c r="L9" i="5"/>
  <c r="L10" i="5" s="1"/>
  <c r="J10" i="5"/>
  <c r="H8" i="12" s="1"/>
  <c r="I9" i="12" s="1"/>
  <c r="I41" i="12" s="1"/>
  <c r="C15" i="12"/>
  <c r="D32" i="19" s="1"/>
  <c r="P22" i="2"/>
  <c r="P19" i="2"/>
  <c r="H6" i="7"/>
  <c r="H10" i="5"/>
  <c r="N19" i="7" s="1"/>
  <c r="O27" i="2"/>
  <c r="C18" i="12" s="1"/>
  <c r="D34" i="19" s="1"/>
  <c r="BA19" i="7" l="1"/>
  <c r="D54" i="19"/>
  <c r="O36" i="2"/>
  <c r="Q36" i="2" s="1"/>
  <c r="C7" i="13"/>
  <c r="J9" i="12"/>
  <c r="H11" i="7"/>
  <c r="H18" i="7" s="1"/>
  <c r="C3" i="13"/>
  <c r="AY21" i="7" l="1"/>
  <c r="AY23" i="7" s="1"/>
  <c r="K43" i="12"/>
  <c r="D56" i="19" s="1"/>
  <c r="D58" i="19" s="1"/>
  <c r="AT11" i="7"/>
  <c r="AT18" i="7" s="1"/>
  <c r="AT22" i="7" s="1"/>
  <c r="AT12" i="7"/>
  <c r="J21" i="12"/>
  <c r="J6" i="12"/>
  <c r="J37" i="12"/>
  <c r="J12" i="12"/>
  <c r="J29" i="12"/>
  <c r="C33" i="13"/>
  <c r="D27" i="13" s="1"/>
  <c r="K41" i="12"/>
  <c r="I42" i="12" s="1"/>
  <c r="D7" i="12"/>
  <c r="D5" i="12"/>
  <c r="D22" i="12"/>
  <c r="D20" i="12"/>
  <c r="D13" i="12"/>
  <c r="D18" i="12"/>
  <c r="D15" i="12"/>
  <c r="K45" i="12" l="1"/>
  <c r="K46" i="12" s="1"/>
  <c r="D23" i="13"/>
  <c r="D25" i="13"/>
  <c r="D17" i="13"/>
  <c r="D19" i="13"/>
  <c r="J41" i="12"/>
  <c r="D31" i="13"/>
  <c r="D11" i="13"/>
  <c r="D41" i="12"/>
  <c r="D15" i="13"/>
  <c r="D13" i="13"/>
  <c r="D29" i="13"/>
  <c r="D5" i="13"/>
  <c r="D9" i="13"/>
  <c r="D7" i="13"/>
  <c r="K48" i="12"/>
  <c r="D3" i="13"/>
  <c r="C42" i="12"/>
  <c r="D33" i="13" l="1"/>
</calcChain>
</file>

<file path=xl/sharedStrings.xml><?xml version="1.0" encoding="utf-8"?>
<sst xmlns="http://schemas.openxmlformats.org/spreadsheetml/2006/main" count="535" uniqueCount="298">
  <si>
    <t>Break-up of components</t>
  </si>
  <si>
    <t>Year 9  Mixed Teams' Tri-Sports Challenge</t>
  </si>
  <si>
    <t>Year 10  Mixed Teams' Public Speaking Challenge</t>
  </si>
  <si>
    <t>First Year</t>
  </si>
  <si>
    <t>Second Year</t>
  </si>
  <si>
    <t>Third Year</t>
  </si>
  <si>
    <t>Year 11  Teams' Mixed I.T. Geek Challenge</t>
  </si>
  <si>
    <t>Total</t>
  </si>
  <si>
    <t>Student uniforms, school suit &amp; equipment</t>
  </si>
  <si>
    <t>Soccer balls</t>
  </si>
  <si>
    <t>Year 9  Mixed Teams' Tri-Sports Challenge involving Three Mixed Teams' Sports:</t>
  </si>
  <si>
    <t>Pairs of Soccer boots</t>
  </si>
  <si>
    <r>
      <t xml:space="preserve">'Town Team' soccer outfits displaying the </t>
    </r>
    <r>
      <rPr>
        <i/>
        <sz val="10"/>
        <color theme="1"/>
        <rFont val="Arial"/>
        <family val="2"/>
      </rPr>
      <t>'Team Bourke', Team Walgett', 'Team Mt Gambier', 'Team Kalgoorlie'</t>
    </r>
    <r>
      <rPr>
        <sz val="10"/>
        <color theme="1"/>
        <rFont val="Arial"/>
        <family val="2"/>
      </rPr>
      <t xml:space="preserve"> etc (jersey, shorts, socks) </t>
    </r>
  </si>
  <si>
    <r>
      <t xml:space="preserve">'Town Team' tennis outfits displaying the </t>
    </r>
    <r>
      <rPr>
        <i/>
        <sz val="10"/>
        <color theme="1"/>
        <rFont val="Arial"/>
        <family val="2"/>
      </rPr>
      <t>'Team Bourke', 'Team Walgett', 'Mt Gambier', 'Team Kalgoorlie'</t>
    </r>
    <r>
      <rPr>
        <sz val="10"/>
        <color theme="1"/>
        <rFont val="Arial"/>
        <family val="2"/>
      </rPr>
      <t xml:space="preserve"> etc (shirt, shorts, socks)</t>
    </r>
  </si>
  <si>
    <t>to wear in 'Town Team' training sessions and at the West Coast Tri-Sports Challenge or the East Coast Tri-Sports Challenge.</t>
  </si>
  <si>
    <t>to wear in 'Town Team' practice sessions and at the West Coast Tri-Sports Challenge or the East Coast Tri-Sports Challenge.</t>
  </si>
  <si>
    <r>
      <t xml:space="preserve">'Town Team' basketball outfits displaying the </t>
    </r>
    <r>
      <rPr>
        <i/>
        <sz val="10"/>
        <color theme="1"/>
        <rFont val="Arial"/>
        <family val="2"/>
      </rPr>
      <t>'Team Bourke', Team Walgett', 'Team Mt Gambier', 'Team Kalgoorlie'</t>
    </r>
    <r>
      <rPr>
        <sz val="10"/>
        <color theme="1"/>
        <rFont val="Arial"/>
        <family val="2"/>
      </rPr>
      <t xml:space="preserve"> etc (jersey, shorts, socks) </t>
    </r>
  </si>
  <si>
    <t>Public Speaking and Debating Training 'You Tubes' movies</t>
  </si>
  <si>
    <t>to compete in Three Mixed Team Sports</t>
  </si>
  <si>
    <t>Tennis rackets</t>
  </si>
  <si>
    <t>Basketballs</t>
  </si>
  <si>
    <t>Pairs of gym shoes</t>
  </si>
  <si>
    <t>Tins of 3 tennis balls</t>
  </si>
  <si>
    <t>School shirts</t>
  </si>
  <si>
    <t>Teams Internet access at local library and two other dedicated locations</t>
  </si>
  <si>
    <r>
      <t xml:space="preserve">School style uniform suits with discrete breast insignias displaying the </t>
    </r>
    <r>
      <rPr>
        <i/>
        <sz val="10"/>
        <color theme="1"/>
        <rFont val="Arial"/>
        <family val="2"/>
      </rPr>
      <t>'Team Bourke', 'Team Walgett'. 'Mt Gambier', 'Team Kalgoorlie'</t>
    </r>
    <r>
      <rPr>
        <sz val="10"/>
        <color theme="1"/>
        <rFont val="Arial"/>
        <family val="2"/>
      </rPr>
      <t xml:space="preserve"> etc </t>
    </r>
  </si>
  <si>
    <t>Leather school shoes 'n socks</t>
  </si>
  <si>
    <t>NB: Students would wear their school-style uniform suits provided for 'Public speaking Challenge' at the sole Capital City Venue</t>
  </si>
  <si>
    <t>Student transport, accomm &amp; meals at three annual Challenges</t>
  </si>
  <si>
    <t>Year 11  Mixed Teams' I.T. Geek Challenge</t>
  </si>
  <si>
    <t>Three Nasty Pitfalls Besetting Teenagers</t>
  </si>
  <si>
    <t>First RTV Year</t>
  </si>
  <si>
    <t>Second RTV Year</t>
  </si>
  <si>
    <t>Third RTV Year</t>
  </si>
  <si>
    <t xml:space="preserve"> Third RTV Year</t>
  </si>
  <si>
    <t xml:space="preserve"> Second RTV Year</t>
  </si>
  <si>
    <t xml:space="preserve"> First RTV Year</t>
  </si>
  <si>
    <t>With only One Challenge Venue in the Third Year (either Sydney or Melb.), the Third Year would experience the highest air travel costs.</t>
  </si>
  <si>
    <t>Transport per Mentor</t>
  </si>
  <si>
    <t>Accom per Mentor</t>
  </si>
  <si>
    <t>Meals per Mentor</t>
  </si>
  <si>
    <t>Mentors</t>
  </si>
  <si>
    <t>Mixed Team Sports</t>
  </si>
  <si>
    <t>School teams</t>
  </si>
  <si>
    <t>Public Speaking Challenge</t>
  </si>
  <si>
    <t>I.T. Geek Challenge</t>
  </si>
  <si>
    <t>Guidance Nasty Pitfalls</t>
  </si>
  <si>
    <t>Grand Total</t>
  </si>
  <si>
    <t xml:space="preserve"> </t>
  </si>
  <si>
    <t>See worksheet:</t>
  </si>
  <si>
    <t>'3 Challenge equip &amp; clothing'</t>
  </si>
  <si>
    <t>'Mentor flights,accom,meals'</t>
  </si>
  <si>
    <t>Ten Primary Sponsors @ 3 years</t>
  </si>
  <si>
    <t xml:space="preserve">Annual </t>
  </si>
  <si>
    <t>Sponsors</t>
  </si>
  <si>
    <t>Annual Contributions</t>
  </si>
  <si>
    <t>Each Year</t>
  </si>
  <si>
    <t>Contribution per Sponsor</t>
  </si>
  <si>
    <t>Grand total</t>
  </si>
  <si>
    <t>REVENUES</t>
  </si>
  <si>
    <t>COSTS</t>
  </si>
  <si>
    <t>Challenge Judging Venues</t>
  </si>
  <si>
    <t>Number of Judges</t>
  </si>
  <si>
    <t>Transport costs per Judge</t>
  </si>
  <si>
    <t>Daily Accom per Mentor</t>
  </si>
  <si>
    <t>Daily Meals per Mentor</t>
  </si>
  <si>
    <t>Mentor flights, accommodation &amp; meals</t>
  </si>
  <si>
    <t>Accommodation per judge per day</t>
  </si>
  <si>
    <t>Meals per judge per day</t>
  </si>
  <si>
    <t>West Coast Tri-Sports Challenge</t>
  </si>
  <si>
    <t>East Coast Tri-Sports Challenge</t>
  </si>
  <si>
    <t xml:space="preserve">Northern City Public Speaking Challenge </t>
  </si>
  <si>
    <t>Southern City Public Speaking Challenge</t>
  </si>
  <si>
    <t>Capital City Venue</t>
  </si>
  <si>
    <t>'Out-of-pockets Three Judges'</t>
  </si>
  <si>
    <t>Out-of-pockets for 20 Wise Old Owls</t>
  </si>
  <si>
    <t>Number of WOOs</t>
  </si>
  <si>
    <t>Travelling</t>
  </si>
  <si>
    <t>Contingency</t>
  </si>
  <si>
    <t>'Out-of-pockets 20 WOOs'</t>
  </si>
  <si>
    <t>Mobile 'phone calls</t>
  </si>
  <si>
    <t>Surplus</t>
  </si>
  <si>
    <t>Student transport, accomm &amp; meals - three annual Challenges</t>
  </si>
  <si>
    <t>Transport</t>
  </si>
  <si>
    <t>Accommodation / meals</t>
  </si>
  <si>
    <t>Website Development</t>
  </si>
  <si>
    <t>Skype</t>
  </si>
  <si>
    <t>Home internet access</t>
  </si>
  <si>
    <t>Out-of-pockets 6 Regional Schools Teams Co-ordinators</t>
  </si>
  <si>
    <t>Out-of-pockets 20 WOOs</t>
  </si>
  <si>
    <t>'Wise Old Owls'</t>
  </si>
  <si>
    <t xml:space="preserve">Mentors flights, accom, meals </t>
  </si>
  <si>
    <t>Out-of-Pockets 6 Regional</t>
  </si>
  <si>
    <t>Town Teams Co-ordinators</t>
  </si>
  <si>
    <t>*    Students would travel by shuttle/bus for up to 800km each way.  On average, each Student would require air transport to two Challenge Venues.</t>
  </si>
  <si>
    <t>*    In order to attend Three Annual Challenges, students would be billeted at GPS or CHS Colleges during the Sept/Oct school holidays when the majority of 'borders' are absent visiting their families.</t>
  </si>
  <si>
    <t>Out-of-pockets for 30 Local 'Connectors'</t>
  </si>
  <si>
    <t>Local 'Connectors'</t>
  </si>
  <si>
    <t>O-of-Ps_Local_Connectors</t>
  </si>
  <si>
    <t>Windows Netbook computers and Office software</t>
  </si>
  <si>
    <t>+Contingency</t>
  </si>
  <si>
    <t>Agg. Surplus</t>
  </si>
  <si>
    <t>Computers</t>
  </si>
  <si>
    <t>Sports clothing</t>
  </si>
  <si>
    <t>Sporting equipment</t>
  </si>
  <si>
    <t>Accommodation/Meals</t>
  </si>
  <si>
    <t>Three Challenges</t>
  </si>
  <si>
    <t>Daily Accom/Meals per Mentor</t>
  </si>
  <si>
    <t>Total Accommod-  ation meals</t>
  </si>
  <si>
    <t xml:space="preserve">'Various Parties' costs </t>
  </si>
  <si>
    <t>Flights</t>
  </si>
  <si>
    <t>Accomm -meals</t>
  </si>
  <si>
    <t>Mobile 'phone calls Total</t>
  </si>
  <si>
    <t xml:space="preserve"> TravellingTotal</t>
  </si>
  <si>
    <t>Types</t>
  </si>
  <si>
    <t>Total Mobile 'phone calls</t>
  </si>
  <si>
    <t>Total Travelling</t>
  </si>
  <si>
    <t>Summary Costs &amp; Receipts</t>
  </si>
  <si>
    <t>Variance</t>
  </si>
  <si>
    <t>Total Equipment</t>
  </si>
  <si>
    <t>Total Clothing</t>
  </si>
  <si>
    <t>less</t>
  </si>
  <si>
    <t>School style 'Township suit' &amp; 'You Tube' training</t>
  </si>
  <si>
    <t>Out-of-pockets Three Challenge Judges</t>
  </si>
  <si>
    <t>Summary Budget item costs</t>
  </si>
  <si>
    <t>%</t>
  </si>
  <si>
    <t>$</t>
  </si>
  <si>
    <t>Total Budget expenditure</t>
  </si>
  <si>
    <t xml:space="preserve">Netbook PC to publish </t>
  </si>
  <si>
    <t>Netbook computer to publish 'team training photos' and edit/update each 'Student Profile Page'</t>
  </si>
  <si>
    <t>Total netbook computers</t>
  </si>
  <si>
    <t>Mobile phone calls</t>
  </si>
  <si>
    <t>Meals per Applicant Interviewer per day</t>
  </si>
  <si>
    <t>Return flight cost per Applicant Interviewer</t>
  </si>
  <si>
    <t>(Assuming that for each Return Flight, 2 Applicant Interviewers will drive to a nearby other Regional Townships, not fly to all 10 Regional Townships)</t>
  </si>
  <si>
    <t>Number of Applicant Interviewers per Regional Township visit</t>
  </si>
  <si>
    <t>Number of return flights to visit Ten Regional Townships</t>
  </si>
  <si>
    <t>Car rental per Return Flight to visit another nearby Regional Township</t>
  </si>
  <si>
    <t>Agg. car rental to visit 5 another nearby Regional Township</t>
  </si>
  <si>
    <t>Agg. Meals for 2 Applicant Interviewers per Regional Township</t>
  </si>
  <si>
    <t>Agg. Meals for 2 Applicant Interviewers for Ten  Regional Township</t>
  </si>
  <si>
    <t>Agg. Accomm for 2 Applicant Interviewers per Regional Township</t>
  </si>
  <si>
    <t>Agg. Accomm. for 2 Applicant Interviewers for Ten  Regional Township</t>
  </si>
  <si>
    <t>Accomm-    odation per Applicant Interviewer per day</t>
  </si>
  <si>
    <t xml:space="preserve">Mobile phone calls by 2 Applicant Interviewers whilst visiting Ten Regional Townships </t>
  </si>
  <si>
    <t>Agg. Return Flights, Car rental, Accomm., Meals &amp; Phone Calls for 2 Applicant Interviewers to visit Ten Regional Townships</t>
  </si>
  <si>
    <t xml:space="preserve">First </t>
  </si>
  <si>
    <t>Second</t>
  </si>
  <si>
    <t>Third</t>
  </si>
  <si>
    <t xml:space="preserve"> RTV Year</t>
  </si>
  <si>
    <t>Out-of-pockets 3 Applicant Interviewers</t>
  </si>
  <si>
    <t>Car rentals</t>
  </si>
  <si>
    <t>Accommodation</t>
  </si>
  <si>
    <t>Meals</t>
  </si>
  <si>
    <t>Three Challenge Judges (drawn from the Wise Old Owls that become Gatekeepers) attend the below 5 Challenge Judging Venues</t>
  </si>
  <si>
    <r>
      <t xml:space="preserve">Two </t>
    </r>
    <r>
      <rPr>
        <b/>
        <sz val="11"/>
        <color theme="1"/>
        <rFont val="Arial"/>
        <family val="2"/>
      </rPr>
      <t>Life Skills Guardians</t>
    </r>
    <r>
      <rPr>
        <sz val="12"/>
        <color theme="1"/>
        <rFont val="Arial"/>
        <family val="2"/>
      </rPr>
      <t>, supported by a</t>
    </r>
    <r>
      <rPr>
        <b/>
        <sz val="11"/>
        <color theme="1"/>
        <rFont val="Arial"/>
        <family val="2"/>
      </rPr>
      <t xml:space="preserve"> Sporting Role Model</t>
    </r>
    <r>
      <rPr>
        <sz val="12"/>
        <color theme="1"/>
        <rFont val="Arial"/>
        <family val="2"/>
      </rPr>
      <t xml:space="preserve"> (three </t>
    </r>
    <r>
      <rPr>
        <b/>
        <sz val="11"/>
        <color theme="1"/>
        <rFont val="Arial"/>
        <family val="2"/>
      </rPr>
      <t>Mentors</t>
    </r>
    <r>
      <rPr>
        <sz val="12"/>
        <color theme="1"/>
        <rFont val="Arial"/>
        <family val="2"/>
      </rPr>
      <t xml:space="preserve">  x </t>
    </r>
    <r>
      <rPr>
        <b/>
        <sz val="12"/>
        <color theme="1"/>
        <rFont val="Arial"/>
        <family val="2"/>
      </rPr>
      <t>Ten</t>
    </r>
    <r>
      <rPr>
        <sz val="12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Regional Townships</t>
    </r>
    <r>
      <rPr>
        <sz val="12"/>
        <color theme="1"/>
        <rFont val="Arial"/>
        <family val="2"/>
      </rPr>
      <t xml:space="preserve"> = 30 </t>
    </r>
    <r>
      <rPr>
        <b/>
        <sz val="11"/>
        <color theme="1"/>
        <rFont val="Arial"/>
        <family val="2"/>
      </rPr>
      <t>Mentor</t>
    </r>
    <r>
      <rPr>
        <sz val="12"/>
        <color theme="1"/>
        <rFont val="Arial"/>
        <family val="2"/>
      </rPr>
      <t xml:space="preserve"> visits @ 3 days = 90 days</t>
    </r>
  </si>
  <si>
    <t>Challenge Days, plus 1 day's travel</t>
  </si>
  <si>
    <t>Regional Schools Teams Coord-inators</t>
  </si>
  <si>
    <r>
      <t xml:space="preserve">120 </t>
    </r>
    <r>
      <rPr>
        <sz val="10"/>
        <color theme="1"/>
        <rFont val="Arial Black"/>
        <family val="2"/>
      </rPr>
      <t>x</t>
    </r>
    <r>
      <rPr>
        <sz val="10"/>
        <color theme="1"/>
        <rFont val="Arial"/>
        <family val="2"/>
      </rPr>
      <t xml:space="preserve"> ($550 ave. transport </t>
    </r>
    <r>
      <rPr>
        <sz val="10"/>
        <color theme="1"/>
        <rFont val="Arial Black"/>
        <family val="2"/>
      </rPr>
      <t>+</t>
    </r>
    <r>
      <rPr>
        <sz val="10"/>
        <color theme="1"/>
        <rFont val="Arial"/>
        <family val="2"/>
      </rPr>
      <t xml:space="preserve"> (8 </t>
    </r>
    <r>
      <rPr>
        <sz val="10"/>
        <color theme="1"/>
        <rFont val="Arial Black"/>
        <family val="2"/>
      </rPr>
      <t xml:space="preserve">x </t>
    </r>
    <r>
      <rPr>
        <sz val="10"/>
        <color theme="1"/>
        <rFont val="Arial"/>
        <family val="2"/>
      </rPr>
      <t>$90 accom + meals)</t>
    </r>
  </si>
  <si>
    <r>
      <t xml:space="preserve">120 </t>
    </r>
    <r>
      <rPr>
        <sz val="10"/>
        <color theme="1"/>
        <rFont val="Arial Black"/>
        <family val="2"/>
      </rPr>
      <t>x</t>
    </r>
    <r>
      <rPr>
        <sz val="10"/>
        <color theme="1"/>
        <rFont val="Arial"/>
        <family val="2"/>
      </rPr>
      <t xml:space="preserve"> ($550 ave. transport </t>
    </r>
    <r>
      <rPr>
        <sz val="10"/>
        <color theme="1"/>
        <rFont val="Arial Black"/>
        <family val="2"/>
      </rPr>
      <t>+</t>
    </r>
    <r>
      <rPr>
        <sz val="10"/>
        <color theme="1"/>
        <rFont val="Arial"/>
        <family val="2"/>
      </rPr>
      <t xml:space="preserve"> (7 </t>
    </r>
    <r>
      <rPr>
        <sz val="10"/>
        <color theme="1"/>
        <rFont val="Arial Black"/>
        <family val="2"/>
      </rPr>
      <t xml:space="preserve">x </t>
    </r>
    <r>
      <rPr>
        <sz val="10"/>
        <color theme="1"/>
        <rFont val="Arial"/>
        <family val="2"/>
      </rPr>
      <t>$90 accomm + meals)</t>
    </r>
  </si>
  <si>
    <r>
      <t xml:space="preserve">120 </t>
    </r>
    <r>
      <rPr>
        <sz val="10"/>
        <color theme="1"/>
        <rFont val="Arial Black"/>
        <family val="2"/>
      </rPr>
      <t>x</t>
    </r>
    <r>
      <rPr>
        <sz val="10"/>
        <color theme="1"/>
        <rFont val="Arial"/>
        <family val="2"/>
      </rPr>
      <t xml:space="preserve"> ($700 ave. transport </t>
    </r>
    <r>
      <rPr>
        <sz val="10"/>
        <color theme="1"/>
        <rFont val="Arial Black"/>
        <family val="2"/>
      </rPr>
      <t>+</t>
    </r>
    <r>
      <rPr>
        <sz val="10"/>
        <color theme="1"/>
        <rFont val="Arial"/>
        <family val="2"/>
      </rPr>
      <t xml:space="preserve"> (6 </t>
    </r>
    <r>
      <rPr>
        <sz val="10"/>
        <color theme="1"/>
        <rFont val="Arial Black"/>
        <family val="2"/>
      </rPr>
      <t xml:space="preserve">x </t>
    </r>
    <r>
      <rPr>
        <sz val="10"/>
        <color theme="1"/>
        <rFont val="Arial"/>
        <family val="2"/>
      </rPr>
      <t>$100 accomm + meals)</t>
    </r>
  </si>
  <si>
    <t>Days (incl 1 day's travel)</t>
  </si>
  <si>
    <t>4 days per Regional Town visit, plus 1 day's travel</t>
  </si>
  <si>
    <t>Cross Section Of Mentors</t>
  </si>
  <si>
    <t>Team Sporting Coaches</t>
  </si>
  <si>
    <t>Sporting Role Models</t>
  </si>
  <si>
    <t>Regional Teams</t>
  </si>
  <si>
    <t>Appoint-  ment Term</t>
  </si>
  <si>
    <t># Years Req'd</t>
  </si>
  <si>
    <t># of Sports</t>
  </si>
  <si>
    <t>Year 9 Student Interviewers</t>
  </si>
  <si>
    <t># per Visit</t>
  </si>
  <si>
    <t># Visits First Year</t>
  </si>
  <si>
    <t># Visits per Mentor      First Year</t>
  </si>
  <si>
    <t>Estimated return 'flight/drive' cost per Visitor per Regional Township</t>
  </si>
  <si>
    <t># Visitors First Year</t>
  </si>
  <si>
    <t>Number of Visit Days, incl 1 day's travel</t>
  </si>
  <si>
    <t>Estimated Food cost per day</t>
  </si>
  <si>
    <t># Mentors    First Year</t>
  </si>
  <si>
    <t>Total Accomm. Cost per Visitor</t>
  </si>
  <si>
    <t>Estimated Accommodation Cost per day per Visitor</t>
  </si>
  <si>
    <t>Total Food Cost per Visit per Visitor</t>
  </si>
  <si>
    <t>Total Cost per Visit per Visitor</t>
  </si>
  <si>
    <t xml:space="preserve">Grand Total Cost per Visit </t>
  </si>
  <si>
    <t>Panel Of Three Judges</t>
  </si>
  <si>
    <t>Reg. School Teams' Co-ordinators</t>
  </si>
  <si>
    <t>120 Accepted Year 9 Students</t>
  </si>
  <si>
    <t>Grand Total Cost to Visitor Ten Regional Towns or Annual Challenge</t>
  </si>
  <si>
    <t>Public Speaking Instructors</t>
  </si>
  <si>
    <t>Grand Total Cost to Visit Annual Challenge</t>
  </si>
  <si>
    <t># Visits Second Year</t>
  </si>
  <si>
    <t># Visitors Second Year</t>
  </si>
  <si>
    <t># Mentors    Second Year</t>
  </si>
  <si>
    <t># Visits per Mentor      Second Year</t>
  </si>
  <si>
    <t>I.T. Geek Nerds</t>
  </si>
  <si>
    <t># Visitors Third Year</t>
  </si>
  <si>
    <t># Mentors    Third Year</t>
  </si>
  <si>
    <t># Visits per Mentor      Third Year</t>
  </si>
  <si>
    <t># Visits Third Year</t>
  </si>
  <si>
    <t>Grand Total Cost to Visit Third Annual Challenge</t>
  </si>
  <si>
    <t>Phone, Skype, Internet</t>
  </si>
  <si>
    <t>1st Year Travel, Accomm, Meals</t>
  </si>
  <si>
    <t>2nd Year Travel, Accomm, Meals</t>
  </si>
  <si>
    <t>3rd_Year Travel, Accomm, Meals</t>
  </si>
  <si>
    <t>Sub Total</t>
  </si>
  <si>
    <t># of I.T. Test Venues</t>
  </si>
  <si>
    <t># of Speak Off Venues</t>
  </si>
  <si>
    <t>Estimated return 'flight' cost per Visitor per Regional Township</t>
  </si>
  <si>
    <t>Estimated return 'car rental' cost per Visitor per Regional Township</t>
  </si>
  <si>
    <t>√</t>
  </si>
  <si>
    <t xml:space="preserve">Student </t>
  </si>
  <si>
    <t>Trans accomm Meals</t>
  </si>
  <si>
    <t>Out-of-pockets 6 Applicant Interviewers</t>
  </si>
  <si>
    <t>Interviewers</t>
  </si>
  <si>
    <t>2 Applicant</t>
  </si>
  <si>
    <t>Agg. Return flight costs two Applicant Interviewers</t>
  </si>
  <si>
    <t>Agg. Travel, Accommodation Meals</t>
  </si>
  <si>
    <t>10 Local</t>
  </si>
  <si>
    <t>Connectors</t>
  </si>
  <si>
    <t>Flight to Challenge Venue</t>
  </si>
  <si>
    <t>Meals per day</t>
  </si>
  <si>
    <t>Accommo-   dation per day</t>
  </si>
  <si>
    <t>Days</t>
  </si>
  <si>
    <t>Flight,Accomm, Meals per LC</t>
  </si>
  <si>
    <t>Flight,Accomm, Meals 10 LCs p.a.</t>
  </si>
  <si>
    <t>5 Flights</t>
  </si>
  <si>
    <t>5 Car hire</t>
  </si>
  <si>
    <t>5 Flights    Car Hire</t>
  </si>
  <si>
    <t>Accomm</t>
  </si>
  <si>
    <t>Total flights, car hire, accomm, meals</t>
  </si>
  <si>
    <t>Total flights, accomm, meals</t>
  </si>
  <si>
    <t>Mentor Days - First Year</t>
  </si>
  <si>
    <t>Mentor Days - Second Year</t>
  </si>
  <si>
    <t>Mentor Days - Third Year</t>
  </si>
  <si>
    <t>Life Skills Guardians</t>
  </si>
  <si>
    <t>Mentoring Support Messages</t>
  </si>
  <si>
    <t>Local Connector weekly training per sport per annum</t>
  </si>
  <si>
    <t>Local Connector weekly speech tuition per annum</t>
  </si>
  <si>
    <t>Local Connector weekly I.T Geek tuition per annum</t>
  </si>
  <si>
    <t>Local Connector annual costs</t>
  </si>
  <si>
    <t>Local Connectors</t>
  </si>
  <si>
    <t>Annual cost per Local Connector</t>
  </si>
  <si>
    <t>Total annual cost 10 Local Connectors</t>
  </si>
  <si>
    <t>Weeks p.a.</t>
  </si>
  <si>
    <t xml:space="preserve">Year 9  Mixed Teams' Tri-Sports Challenge; </t>
  </si>
  <si>
    <t xml:space="preserve"> Year 11  Mixed Teams' I.T. Geek Challenge</t>
  </si>
  <si>
    <t>Rounding error</t>
  </si>
  <si>
    <t>10_LocalConnectorLabourCost'</t>
  </si>
  <si>
    <t>Excluding Equipment</t>
  </si>
  <si>
    <t>based on Ten Primary Sponsors contributing $50,000 pa for 3 years</t>
  </si>
  <si>
    <r>
      <rPr>
        <sz val="11"/>
        <color theme="1"/>
        <rFont val="Arial"/>
        <family val="2"/>
      </rPr>
      <t xml:space="preserve">Two </t>
    </r>
    <r>
      <rPr>
        <b/>
        <sz val="11"/>
        <color theme="1"/>
        <rFont val="Arial"/>
        <family val="2"/>
      </rPr>
      <t>Public Speaking Instructors</t>
    </r>
    <r>
      <rPr>
        <sz val="12"/>
        <color theme="1"/>
        <rFont val="Arial"/>
        <family val="2"/>
      </rPr>
      <t>, supported by a</t>
    </r>
    <r>
      <rPr>
        <b/>
        <sz val="11"/>
        <color theme="1"/>
        <rFont val="Arial"/>
        <family val="2"/>
      </rPr>
      <t xml:space="preserve"> Sporting Role Model</t>
    </r>
    <r>
      <rPr>
        <sz val="12"/>
        <color theme="1"/>
        <rFont val="Arial"/>
        <family val="2"/>
      </rPr>
      <t xml:space="preserve"> (three </t>
    </r>
    <r>
      <rPr>
        <b/>
        <sz val="11"/>
        <color theme="1"/>
        <rFont val="Arial"/>
        <family val="2"/>
      </rPr>
      <t>Mentors</t>
    </r>
    <r>
      <rPr>
        <sz val="12"/>
        <color theme="1"/>
        <rFont val="Arial"/>
        <family val="2"/>
      </rPr>
      <t xml:space="preserve">  x </t>
    </r>
    <r>
      <rPr>
        <b/>
        <sz val="11"/>
        <color theme="1"/>
        <rFont val="Arial"/>
        <family val="2"/>
      </rPr>
      <t>Ten Regional Townships</t>
    </r>
    <r>
      <rPr>
        <sz val="12"/>
        <color theme="1"/>
        <rFont val="Arial"/>
        <family val="2"/>
      </rPr>
      <t xml:space="preserve"> = 30 </t>
    </r>
    <r>
      <rPr>
        <b/>
        <sz val="11"/>
        <color theme="1"/>
        <rFont val="Arial"/>
        <family val="2"/>
      </rPr>
      <t>Mentor</t>
    </r>
    <r>
      <rPr>
        <sz val="12"/>
        <color theme="1"/>
        <rFont val="Arial"/>
        <family val="2"/>
      </rPr>
      <t xml:space="preserve"> visits @ 3 days = 90 mentor days</t>
    </r>
  </si>
  <si>
    <r>
      <rPr>
        <sz val="11"/>
        <color theme="1"/>
        <rFont val="Arial"/>
        <family val="2"/>
      </rPr>
      <t>Two</t>
    </r>
    <r>
      <rPr>
        <sz val="12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Team Sporting Coaches</t>
    </r>
    <r>
      <rPr>
        <sz val="12"/>
        <color theme="1"/>
        <rFont val="Arial"/>
        <family val="2"/>
      </rPr>
      <t xml:space="preserve"> for each of the</t>
    </r>
    <r>
      <rPr>
        <b/>
        <sz val="10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Three Mixed Team Sports</t>
    </r>
    <r>
      <rPr>
        <sz val="12"/>
        <color theme="1"/>
        <rFont val="Arial"/>
        <family val="2"/>
      </rPr>
      <t>, supported by a</t>
    </r>
    <r>
      <rPr>
        <b/>
        <sz val="11"/>
        <color theme="1"/>
        <rFont val="Arial"/>
        <family val="2"/>
      </rPr>
      <t xml:space="preserve"> Sporting Role Model</t>
    </r>
    <r>
      <rPr>
        <sz val="12"/>
        <color theme="1"/>
        <rFont val="Arial"/>
        <family val="2"/>
      </rPr>
      <t xml:space="preserve"> (three </t>
    </r>
    <r>
      <rPr>
        <b/>
        <sz val="11"/>
        <color theme="1"/>
        <rFont val="Arial"/>
        <family val="2"/>
      </rPr>
      <t>Mentors</t>
    </r>
    <r>
      <rPr>
        <sz val="12"/>
        <color theme="1"/>
        <rFont val="Arial"/>
        <family val="2"/>
      </rPr>
      <t xml:space="preserve"> x </t>
    </r>
    <r>
      <rPr>
        <b/>
        <sz val="11"/>
        <color theme="1"/>
        <rFont val="Arial"/>
        <family val="2"/>
      </rPr>
      <t>Three Mixed Team Sports</t>
    </r>
    <r>
      <rPr>
        <sz val="12"/>
        <color theme="1"/>
        <rFont val="Arial"/>
        <family val="2"/>
      </rPr>
      <t xml:space="preserve"> x </t>
    </r>
    <r>
      <rPr>
        <b/>
        <sz val="12"/>
        <color theme="1"/>
        <rFont val="Arial"/>
        <family val="2"/>
      </rPr>
      <t>Ten Regional Townships</t>
    </r>
    <r>
      <rPr>
        <sz val="12"/>
        <color theme="1"/>
        <rFont val="Arial"/>
        <family val="2"/>
      </rPr>
      <t xml:space="preserve"> = 90 </t>
    </r>
    <r>
      <rPr>
        <b/>
        <sz val="11"/>
        <color theme="1"/>
        <rFont val="Arial"/>
        <family val="2"/>
      </rPr>
      <t>Mentor</t>
    </r>
    <r>
      <rPr>
        <sz val="12"/>
        <color theme="1"/>
        <rFont val="Arial"/>
        <family val="2"/>
      </rPr>
      <t xml:space="preserve"> visits @ 3 days = 270 days</t>
    </r>
  </si>
  <si>
    <r>
      <rPr>
        <sz val="11"/>
        <color theme="1"/>
        <rFont val="Arial"/>
        <family val="2"/>
      </rPr>
      <t>Two</t>
    </r>
    <r>
      <rPr>
        <sz val="12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I.T. Geek Nerds</t>
    </r>
    <r>
      <rPr>
        <sz val="12"/>
        <color theme="1"/>
        <rFont val="Arial"/>
        <family val="2"/>
      </rPr>
      <t>, supported by a</t>
    </r>
    <r>
      <rPr>
        <b/>
        <sz val="11"/>
        <color theme="1"/>
        <rFont val="Arial"/>
        <family val="2"/>
      </rPr>
      <t xml:space="preserve"> Sporting Role Model</t>
    </r>
    <r>
      <rPr>
        <sz val="12"/>
        <color theme="1"/>
        <rFont val="Arial"/>
        <family val="2"/>
      </rPr>
      <t xml:space="preserve"> (three </t>
    </r>
    <r>
      <rPr>
        <b/>
        <sz val="11"/>
        <color theme="1"/>
        <rFont val="Arial"/>
        <family val="2"/>
      </rPr>
      <t>Mentors</t>
    </r>
    <r>
      <rPr>
        <sz val="12"/>
        <color theme="1"/>
        <rFont val="Arial"/>
        <family val="2"/>
      </rPr>
      <t xml:space="preserve">  x </t>
    </r>
    <r>
      <rPr>
        <b/>
        <sz val="12"/>
        <color theme="1"/>
        <rFont val="Arial"/>
        <family val="2"/>
      </rPr>
      <t>Ten</t>
    </r>
    <r>
      <rPr>
        <sz val="12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Regional Townships</t>
    </r>
    <r>
      <rPr>
        <sz val="12"/>
        <color theme="1"/>
        <rFont val="Arial"/>
        <family val="2"/>
      </rPr>
      <t xml:space="preserve"> = 30 </t>
    </r>
    <r>
      <rPr>
        <b/>
        <sz val="11"/>
        <color theme="1"/>
        <rFont val="Arial"/>
        <family val="2"/>
      </rPr>
      <t>Mentor</t>
    </r>
    <r>
      <rPr>
        <sz val="12"/>
        <color theme="1"/>
        <rFont val="Arial"/>
        <family val="2"/>
      </rPr>
      <t xml:space="preserve"> visits @ 3 days = 90 mentor days</t>
    </r>
  </si>
  <si>
    <t>(excluding '140 Students' costs)</t>
  </si>
  <si>
    <t>Student transport, accomm, clothing, equip costs</t>
  </si>
  <si>
    <t>Younger Corp Sponsor Sports Employees</t>
  </si>
  <si>
    <t>Reg Township Team Co-ords</t>
  </si>
  <si>
    <t>Aggregate Mentor Days - Three Years</t>
  </si>
  <si>
    <t>2nd &amp; 3rd Year Regional Team Co-Ordinators</t>
  </si>
  <si>
    <t>Number of Regional Team CoOrdinators</t>
  </si>
  <si>
    <t>Transport costs per Regional Team CoOrdinator</t>
  </si>
  <si>
    <t>Accommodation per  Regional Team CoOrdinators per day</t>
  </si>
  <si>
    <t>Meals per Regional Team CoOrdinators per day</t>
  </si>
  <si>
    <t>6 x Regional Team Co-Ordinators (drawn from the Wise Old Owls that become Gatekeepers) attend the below 2nd &amp; 3rd Years Challenge Judging Venues</t>
  </si>
  <si>
    <t xml:space="preserve">NB:  In the First Year, </t>
  </si>
  <si>
    <t>*   5 x Younger Corporate Sponsor Sports Employees attend the Western City Challenge and</t>
  </si>
  <si>
    <t>*   (the other) 5 x Younger Corporate Sponsor Sports Employees attend the Eastern City Challenge</t>
  </si>
  <si>
    <t xml:space="preserve"> Second Year</t>
  </si>
  <si>
    <t xml:space="preserve"> Third Year</t>
  </si>
  <si>
    <t>10 x Local Connectors pa flights, accomm, meals</t>
  </si>
  <si>
    <t>10 x Local Connector 35 weeks labour costs</t>
  </si>
  <si>
    <t>NB:  6 x Regional Team Co-Ordinators (drawn from the Wise Old Owls that become Gatekeepers) will attend the below 2nd &amp; 3rd Years Challenge Judging Venues</t>
  </si>
  <si>
    <t>Number of Younger Corporate Sponsor Sports Employees</t>
  </si>
  <si>
    <t>Transport costs per Younger Corporate Sponsor Sports Employees</t>
  </si>
  <si>
    <t>Accommodation per Younger Corporate Sponsor Sports Employees per day</t>
  </si>
  <si>
    <t>Meals per Younger Corporate Sponsor Sports Employees per day</t>
  </si>
  <si>
    <t xml:space="preserve">In the First Year: </t>
  </si>
  <si>
    <t>1st Year 10 x Younger Corporate Sponsor Sports Employees</t>
  </si>
  <si>
    <t>Attending Annual Challenge</t>
  </si>
  <si>
    <t>1st Year Younger Corp</t>
  </si>
  <si>
    <t xml:space="preserve"> Sports Employees</t>
  </si>
  <si>
    <t>2nd &amp; 3rd Years</t>
  </si>
  <si>
    <t>Regional Teams CoOrd</t>
  </si>
  <si>
    <t>Flight cost</t>
  </si>
  <si>
    <t>Work Experience Students</t>
  </si>
  <si>
    <t>Agg. Flight costs for 20 Work Experience Recipients</t>
  </si>
  <si>
    <t>√√</t>
  </si>
  <si>
    <t>20 Work Experience Recipients flight costs</t>
  </si>
  <si>
    <t xml:space="preserve">20 Work Experience </t>
  </si>
  <si>
    <t>Recipients flight costs</t>
  </si>
  <si>
    <t>Work Experience Providers</t>
  </si>
  <si>
    <t>Out-of-pockets 6 RTTCo-O's</t>
  </si>
  <si>
    <t>10_LocalConnectorLabourCosts</t>
  </si>
  <si>
    <t>Camera cost</t>
  </si>
  <si>
    <t>contingency cameras</t>
  </si>
  <si>
    <t>Local_Connector_cameras</t>
  </si>
  <si>
    <t>Digital Cameras</t>
  </si>
  <si>
    <t>15 digital cameras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</si>
</sst>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4">
    <numFmt numFmtId="6" formatCode="&quot;$&quot;#,##0_);[Red]\(&quot;$&quot;#,##0\)"/>
    <numFmt numFmtId="164" formatCode="&quot;$&quot;#,##0;[Red]\-&quot;$&quot;#,##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&quot;$&quot;#,##0"/>
    <numFmt numFmtId="168" formatCode="0\ &quot;Students&quot;"/>
    <numFmt numFmtId="169" formatCode="&quot;$&quot;0\ &quot;per day/night&quot;"/>
    <numFmt numFmtId="170" formatCode="0\ &quot;pairs of soccer boots&quot;"/>
    <numFmt numFmtId="171" formatCode="s\o\c\ce\r\ bb\a\l\ls"/>
    <numFmt numFmtId="172" formatCode="0\ &quot;locations&quot;"/>
    <numFmt numFmtId="173" formatCode="0\ &quot;years&quot;"/>
    <numFmt numFmtId="174" formatCode="&quot;$&quot;0\ &quot;per month&quot;"/>
    <numFmt numFmtId="175" formatCode="0\ &quot;months p.a.&quot;"/>
    <numFmt numFmtId="176" formatCode="0\ &quot;Mentors&quot;"/>
    <numFmt numFmtId="177" formatCode="0\ &quot;Mixed Team Sports&quot;"/>
    <numFmt numFmtId="178" formatCode="0\ &quot;School Teams&quot;"/>
    <numFmt numFmtId="179" formatCode="0\ &quot;days/7 nights&quot;"/>
    <numFmt numFmtId="180" formatCode="0\ &quot;days/6 nights&quot;"/>
    <numFmt numFmtId="181" formatCode="0\ &quot;days/5 nights&quot;"/>
    <numFmt numFmtId="182" formatCode="0\ &quot;Year&quot;"/>
    <numFmt numFmtId="183" formatCode="0\ &quot;Years&quot;"/>
    <numFmt numFmtId="184" formatCode="0\ \ &quot;Role Model&quot;"/>
    <numFmt numFmtId="185" formatCode="0\ \ &quot;Year&quot;"/>
    <numFmt numFmtId="186" formatCode="0\ \ &quot;Years&quot;"/>
    <numFmt numFmtId="187" formatCode="0\ \ &quot;Sports&quot;"/>
    <numFmt numFmtId="188" formatCode="0\ \ &quot;Teams&quot;"/>
    <numFmt numFmtId="189" formatCode="0\ \ &quot;Coaches&quot;"/>
    <numFmt numFmtId="190" formatCode="0\ \ &quot;Coordinators&quot;"/>
    <numFmt numFmtId="191" formatCode="0\ \ &quot;Interviewers&quot;"/>
    <numFmt numFmtId="192" formatCode="0\ \ &quot;Visits&quot;"/>
    <numFmt numFmtId="193" formatCode="0\ \ &quot;Role Models&quot;"/>
    <numFmt numFmtId="194" formatCode="0.00\ \ &quot;Visits per Interviewer&quot;"/>
    <numFmt numFmtId="195" formatCode="0\ &quot;Visits per Role Model&quot;"/>
    <numFmt numFmtId="196" formatCode="0\ \ &quot;Visits per Coach&quot;"/>
    <numFmt numFmtId="197" formatCode="&quot;$&quot;0\ \ &quot;Flight/drive&quot;"/>
    <numFmt numFmtId="198" formatCode="&quot;$&quot;0\ \ &quot;Accommodation&quot;"/>
    <numFmt numFmtId="199" formatCode="0\ \ &quot;days&quot;"/>
    <numFmt numFmtId="200" formatCode="&quot;$&quot;0\ \ &quot;Tot Accom&quot;"/>
    <numFmt numFmtId="201" formatCode="&quot;$&quot;0\ \ &quot;Food&quot;"/>
    <numFmt numFmtId="202" formatCode="&quot;$&quot;0\ \ &quot;Tot Food&quot;"/>
    <numFmt numFmtId="203" formatCode="&quot;$&quot;0\ \ &quot;Tot Cost&quot;"/>
    <numFmt numFmtId="204" formatCode="&quot;$&quot;0\ \ &quot;Grand Tot Cost&quot;"/>
    <numFmt numFmtId="205" formatCode="&quot;$&quot;0\ \ &quot;Interviewer Grand Cost 10 Reg Towns&quot;"/>
    <numFmt numFmtId="206" formatCode="&quot;$&quot;0\ \ &quot;Coaches Grand Cost 10 Reg Towns&quot;"/>
    <numFmt numFmtId="207" formatCode="&quot;$&quot;#,##0.00"/>
    <numFmt numFmtId="208" formatCode="&quot;$&quot;0\ \ &quot;Role Model Grand Cost 10 Reg Towns&quot;"/>
    <numFmt numFmtId="209" formatCode="0\ &quot;Judges&quot;"/>
    <numFmt numFmtId="210" formatCode="0\ &quot;Visits&quot;"/>
    <numFmt numFmtId="211" formatCode="0\ \ &quot;Visitors&quot;"/>
    <numFmt numFmtId="212" formatCode="0\ &quot;Visitors&quot;"/>
    <numFmt numFmtId="213" formatCode="0\ &quot;Visits per Judge&quot;"/>
    <numFmt numFmtId="214" formatCode="&quot;$&quot;0\ \ &quot;Judge Grand Cost 10 Reg Towns&quot;"/>
    <numFmt numFmtId="215" formatCode="0\ \ &quot;Visit&quot;"/>
    <numFmt numFmtId="216" formatCode="0\ \ &quot;Local 'Con.'&quot;"/>
    <numFmt numFmtId="217" formatCode="0\ \ &quot;Loc Con.&quot;"/>
    <numFmt numFmtId="218" formatCode="0\ \ &quot;Visit per Local Con.&quot;"/>
    <numFmt numFmtId="219" formatCode="0\ \ &quot;Students&quot;"/>
    <numFmt numFmtId="220" formatCode="0\ &quot;Visit per Student&quot;"/>
    <numFmt numFmtId="221" formatCode="0\ \ &quot;Instructors&quot;"/>
    <numFmt numFmtId="222" formatCode="0\ \ &quot;Speak Offs&quot;"/>
    <numFmt numFmtId="223" formatCode="0\ \ &quot;Visits per Instructor&quot;"/>
    <numFmt numFmtId="224" formatCode="&quot;$&quot;0\ \ &quot;Judge Grand Cost 2 Venues&quot;"/>
    <numFmt numFmtId="225" formatCode="0\ \ &quot;I.T. Tests&quot;"/>
    <numFmt numFmtId="226" formatCode="&quot;$&quot;0\ \ &quot;I.T.Geek Nurds&quot;"/>
    <numFmt numFmtId="227" formatCode="0\ \ &quot;Geek Nerds&quot;"/>
    <numFmt numFmtId="228" formatCode="0\ \ &quot;Visits per Geek Nerd&quot;"/>
    <numFmt numFmtId="229" formatCode="0\ \ &quot;Visit per Local Connect&quot;"/>
    <numFmt numFmtId="230" formatCode="&quot;$&quot;0\ \ &quot;Flight&quot;"/>
    <numFmt numFmtId="231" formatCode="&quot;$&quot;0\ \ &quot;CarRent&quot;"/>
    <numFmt numFmtId="232" formatCode="0.0%"/>
    <numFmt numFmtId="233" formatCode="0\ \ &quot;Mentor Days&quot;"/>
    <numFmt numFmtId="234" formatCode="0\ \ &quot;Guardians&quot;"/>
    <numFmt numFmtId="235" formatCode="0\ \ &quot;Visits per Guardian&quot;"/>
    <numFmt numFmtId="236" formatCode="&quot;$&quot;0\ \ &quot;Message Mentors Grand Cost 10 Reg Towns&quot;"/>
    <numFmt numFmtId="237" formatCode="0\ \ &quot;Variance&quot;"/>
    <numFmt numFmtId="238" formatCode="&quot;$&quot;0\ \ &quot;per hour&quot;"/>
    <numFmt numFmtId="239" formatCode="&quot;$&quot;0\ &quot;Grand Total Local Connector Cost&quot;"/>
    <numFmt numFmtId="240" formatCode="&quot;$&quot;0\ \ &quot;Grand Tot Local Connectors Cost&quot;"/>
    <numFmt numFmtId="241" formatCode="&quot;$&quot;0\ &quot;Grand Total Local Connectors Cost&quot;"/>
    <numFmt numFmtId="242" formatCode="&quot;$&quot;0\ \ &quot;Total First Year Costs&quot;"/>
    <numFmt numFmtId="243" formatCode="&quot;$&quot;0\ \ &quot;Total Second Year Costs&quot;"/>
    <numFmt numFmtId="244" formatCode="&quot;$&quot;0\ \ &quot;Total Third Year Costs&quot;"/>
    <numFmt numFmtId="245" formatCode="&quot;$&quot;0\ \ &quot;Total Three Year Costs&quot;"/>
    <numFmt numFmtId="246" formatCode="0\ &quot;hours&quot;"/>
    <numFmt numFmtId="247" formatCode="0.00\ &quot;Mentor Days per Student&quot;"/>
    <numFmt numFmtId="248" formatCode="0\ \ &quot;Umpire/Referee&quot;"/>
    <numFmt numFmtId="249" formatCode="0\ \ &quot;Umps/Refs&quot;"/>
    <numFmt numFmtId="250" formatCode="0\ &quot;Visit per Ump/Ref&quot;"/>
    <numFmt numFmtId="251" formatCode="&quot;$&quot;0\ \ &quot;Umps/Refs Grand Cost 10 Reg Towns&quot;"/>
    <numFmt numFmtId="252" formatCode="0\ &quot;Reg. Co-Ords&quot;"/>
    <numFmt numFmtId="253" formatCode="0\ \ &quot;Visit per Reg. Co-Ord.&quot;"/>
    <numFmt numFmtId="254" formatCode="&quot;$&quot;0\ &quot;Grand Cost Reg Town Team Co-Ords&quot;"/>
    <numFmt numFmtId="255" formatCode="0\ &quot;Wk Exp Recipients&quot;"/>
    <numFmt numFmtId="256" formatCode="0\ &quot;Mentor Days&quot;"/>
  </numFmts>
  <fonts count="28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 Black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b/>
      <sz val="13"/>
      <color theme="1"/>
      <name val="Arial Narrow"/>
      <family val="2"/>
    </font>
    <font>
      <i/>
      <sz val="10"/>
      <color theme="1"/>
      <name val="Arial"/>
      <family val="2"/>
    </font>
    <font>
      <b/>
      <u/>
      <sz val="13"/>
      <color theme="10"/>
      <name val="Arial Narrow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0"/>
      <name val="Arial"/>
      <family val="2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u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 Narrow"/>
      <family val="2"/>
    </font>
    <font>
      <b/>
      <sz val="9"/>
      <color theme="1"/>
      <name val="Arial Narrow"/>
      <family val="2"/>
    </font>
    <font>
      <b/>
      <u/>
      <sz val="11"/>
      <color theme="1"/>
      <name val="Arial Narrow"/>
      <family val="2"/>
    </font>
    <font>
      <b/>
      <u/>
      <sz val="11"/>
      <color theme="10"/>
      <name val="Arial Narrow"/>
      <family val="2"/>
    </font>
    <font>
      <b/>
      <sz val="10"/>
      <color rgb="FFFF0000"/>
      <name val="Arial"/>
      <family val="2"/>
    </font>
    <font>
      <b/>
      <u/>
      <sz val="10"/>
      <color theme="10"/>
      <name val="Arial Narrow"/>
      <family val="2"/>
    </font>
    <font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9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6" fontId="20" fillId="0" borderId="0" applyFont="0" applyFill="0" applyBorder="0" applyAlignment="0" applyProtection="0"/>
  </cellStyleXfs>
  <cellXfs count="345">
    <xf numFmtId="0" fontId="0" fillId="0" borderId="0" xfId="0"/>
    <xf numFmtId="167" fontId="0" fillId="0" borderId="0" xfId="0" applyNumberFormat="1"/>
    <xf numFmtId="168" fontId="0" fillId="0" borderId="0" xfId="0" applyNumberFormat="1"/>
    <xf numFmtId="0" fontId="2" fillId="0" borderId="0" xfId="0" applyFont="1"/>
    <xf numFmtId="169" fontId="0" fillId="0" borderId="0" xfId="0" applyNumberFormat="1"/>
    <xf numFmtId="0" fontId="5" fillId="0" borderId="0" xfId="1" applyFont="1"/>
    <xf numFmtId="0" fontId="6" fillId="0" borderId="0" xfId="0" applyFont="1"/>
    <xf numFmtId="0" fontId="2" fillId="0" borderId="0" xfId="0" applyFont="1" applyAlignment="1">
      <alignment horizontal="center"/>
    </xf>
    <xf numFmtId="170" fontId="0" fillId="0" borderId="0" xfId="0" applyNumberFormat="1"/>
    <xf numFmtId="171" fontId="0" fillId="0" borderId="0" xfId="0" applyNumberFormat="1"/>
    <xf numFmtId="0" fontId="0" fillId="0" borderId="0" xfId="0" quotePrefix="1"/>
    <xf numFmtId="0" fontId="8" fillId="0" borderId="0" xfId="1" applyFont="1"/>
    <xf numFmtId="164" fontId="0" fillId="0" borderId="0" xfId="0" applyNumberFormat="1"/>
    <xf numFmtId="172" fontId="0" fillId="0" borderId="0" xfId="0" applyNumberFormat="1"/>
    <xf numFmtId="173" fontId="0" fillId="0" borderId="0" xfId="0" applyNumberFormat="1"/>
    <xf numFmtId="174" fontId="0" fillId="0" borderId="0" xfId="0" applyNumberFormat="1"/>
    <xf numFmtId="175" fontId="0" fillId="0" borderId="0" xfId="0" applyNumberFormat="1"/>
    <xf numFmtId="0" fontId="0" fillId="2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0" borderId="9" xfId="0" applyBorder="1"/>
    <xf numFmtId="0" fontId="12" fillId="2" borderId="2" xfId="1" applyFont="1" applyFill="1" applyBorder="1" applyAlignment="1">
      <alignment vertical="center" wrapText="1"/>
    </xf>
    <xf numFmtId="0" fontId="12" fillId="3" borderId="2" xfId="1" applyFont="1" applyFill="1" applyBorder="1" applyAlignment="1">
      <alignment vertical="center" wrapText="1"/>
    </xf>
    <xf numFmtId="0" fontId="12" fillId="6" borderId="0" xfId="1" applyFont="1" applyFill="1"/>
    <xf numFmtId="0" fontId="12" fillId="6" borderId="2" xfId="1" applyFont="1" applyFill="1" applyBorder="1" applyAlignment="1">
      <alignment vertical="center" wrapText="1"/>
    </xf>
    <xf numFmtId="0" fontId="0" fillId="6" borderId="8" xfId="0" applyFill="1" applyBorder="1"/>
    <xf numFmtId="0" fontId="9" fillId="6" borderId="3" xfId="0" applyFont="1" applyFill="1" applyBorder="1" applyAlignment="1">
      <alignment vertical="center" wrapText="1"/>
    </xf>
    <xf numFmtId="0" fontId="12" fillId="7" borderId="0" xfId="1" applyFont="1" applyFill="1"/>
    <xf numFmtId="0" fontId="12" fillId="7" borderId="2" xfId="1" applyFont="1" applyFill="1" applyBorder="1" applyAlignment="1">
      <alignment vertical="center" wrapText="1"/>
    </xf>
    <xf numFmtId="0" fontId="0" fillId="7" borderId="9" xfId="0" applyFill="1" applyBorder="1"/>
    <xf numFmtId="0" fontId="0" fillId="7" borderId="3" xfId="0" applyFill="1" applyBorder="1" applyAlignment="1">
      <alignment vertical="center" wrapText="1"/>
    </xf>
    <xf numFmtId="0" fontId="12" fillId="3" borderId="0" xfId="1" applyFont="1" applyFill="1"/>
    <xf numFmtId="0" fontId="0" fillId="3" borderId="7" xfId="0" applyFill="1" applyBorder="1"/>
    <xf numFmtId="0" fontId="12" fillId="2" borderId="0" xfId="1" applyFont="1" applyFill="1"/>
    <xf numFmtId="0" fontId="0" fillId="2" borderId="7" xfId="0" applyFill="1" applyBorder="1"/>
    <xf numFmtId="0" fontId="0" fillId="0" borderId="10" xfId="0" applyBorder="1"/>
    <xf numFmtId="0" fontId="13" fillId="0" borderId="0" xfId="0" applyFont="1"/>
    <xf numFmtId="0" fontId="14" fillId="0" borderId="0" xfId="0" applyFont="1"/>
    <xf numFmtId="0" fontId="0" fillId="0" borderId="0" xfId="0" applyAlignment="1">
      <alignment horizontal="center"/>
    </xf>
    <xf numFmtId="176" fontId="0" fillId="2" borderId="13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1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7" fontId="0" fillId="2" borderId="1" xfId="0" applyNumberForma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7" fontId="0" fillId="3" borderId="1" xfId="0" applyNumberFormat="1" applyFill="1" applyBorder="1" applyAlignment="1">
      <alignment horizontal="center" vertical="center"/>
    </xf>
    <xf numFmtId="176" fontId="0" fillId="3" borderId="12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67" fontId="0" fillId="3" borderId="1" xfId="0" applyNumberFormat="1" applyFill="1" applyBorder="1" applyAlignment="1">
      <alignment horizontal="center" vertical="center" wrapText="1"/>
    </xf>
    <xf numFmtId="176" fontId="0" fillId="7" borderId="12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67" fontId="0" fillId="7" borderId="1" xfId="0" applyNumberFormat="1" applyFill="1" applyBorder="1" applyAlignment="1">
      <alignment horizontal="center" vertical="center"/>
    </xf>
    <xf numFmtId="167" fontId="0" fillId="7" borderId="1" xfId="0" applyNumberFormat="1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 wrapText="1"/>
    </xf>
    <xf numFmtId="176" fontId="0" fillId="6" borderId="15" xfId="0" applyNumberFormat="1" applyFill="1" applyBorder="1" applyAlignment="1">
      <alignment horizontal="center" vertical="center"/>
    </xf>
    <xf numFmtId="167" fontId="0" fillId="6" borderId="14" xfId="0" applyNumberFormat="1" applyFill="1" applyBorder="1" applyAlignment="1">
      <alignment horizontal="center" vertical="center"/>
    </xf>
    <xf numFmtId="167" fontId="0" fillId="6" borderId="14" xfId="0" applyNumberFormat="1" applyFill="1" applyBorder="1" applyAlignment="1">
      <alignment horizontal="center" vertical="center" wrapText="1"/>
    </xf>
    <xf numFmtId="167" fontId="0" fillId="6" borderId="1" xfId="0" applyNumberFormat="1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167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 vertical="center"/>
    </xf>
    <xf numFmtId="0" fontId="0" fillId="8" borderId="17" xfId="0" applyFill="1" applyBorder="1" applyAlignment="1">
      <alignment horizontal="center" wrapText="1"/>
    </xf>
    <xf numFmtId="0" fontId="15" fillId="0" borderId="0" xfId="0" applyFont="1"/>
    <xf numFmtId="0" fontId="0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0" fillId="5" borderId="0" xfId="0" applyFill="1"/>
    <xf numFmtId="0" fontId="2" fillId="0" borderId="0" xfId="0" quotePrefix="1" applyFont="1"/>
    <xf numFmtId="0" fontId="0" fillId="0" borderId="0" xfId="0" applyAlignment="1">
      <alignment horizontal="center" vertical="center"/>
    </xf>
    <xf numFmtId="0" fontId="13" fillId="5" borderId="0" xfId="0" applyFont="1" applyFill="1"/>
    <xf numFmtId="0" fontId="15" fillId="5" borderId="0" xfId="0" applyFont="1" applyFill="1"/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quotePrefix="1" applyFont="1"/>
    <xf numFmtId="164" fontId="13" fillId="0" borderId="0" xfId="0" applyNumberFormat="1" applyFont="1"/>
    <xf numFmtId="167" fontId="13" fillId="0" borderId="0" xfId="0" applyNumberFormat="1" applyFont="1"/>
    <xf numFmtId="0" fontId="13" fillId="5" borderId="0" xfId="0" applyFont="1" applyFill="1" applyAlignment="1">
      <alignment horizontal="center" vertical="center" wrapText="1"/>
    </xf>
    <xf numFmtId="167" fontId="13" fillId="5" borderId="0" xfId="0" applyNumberFormat="1" applyFont="1" applyFill="1"/>
    <xf numFmtId="0" fontId="13" fillId="9" borderId="0" xfId="0" applyFont="1" applyFill="1"/>
    <xf numFmtId="167" fontId="13" fillId="9" borderId="0" xfId="0" applyNumberFormat="1" applyFont="1" applyFill="1"/>
    <xf numFmtId="164" fontId="13" fillId="9" borderId="0" xfId="0" applyNumberFormat="1" applyFont="1" applyFill="1"/>
    <xf numFmtId="0" fontId="10" fillId="0" borderId="0" xfId="0" applyFont="1"/>
    <xf numFmtId="0" fontId="0" fillId="2" borderId="1" xfId="0" applyNumberFormat="1" applyFill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/>
    </xf>
    <xf numFmtId="0" fontId="0" fillId="7" borderId="1" xfId="0" applyNumberFormat="1" applyFill="1" applyBorder="1" applyAlignment="1">
      <alignment horizontal="center" vertical="center" wrapText="1"/>
    </xf>
    <xf numFmtId="0" fontId="0" fillId="7" borderId="1" xfId="0" applyNumberFormat="1" applyFill="1" applyBorder="1" applyAlignment="1">
      <alignment horizontal="center" vertical="center"/>
    </xf>
    <xf numFmtId="0" fontId="0" fillId="0" borderId="0" xfId="0" applyNumberFormat="1"/>
    <xf numFmtId="0" fontId="0" fillId="6" borderId="14" xfId="0" applyNumberFormat="1" applyFill="1" applyBorder="1" applyAlignment="1">
      <alignment horizontal="center" vertical="center" wrapText="1"/>
    </xf>
    <xf numFmtId="0" fontId="0" fillId="6" borderId="14" xfId="0" applyNumberForma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178" fontId="0" fillId="2" borderId="1" xfId="0" applyNumberFormat="1" applyFill="1" applyBorder="1" applyAlignment="1">
      <alignment horizontal="center" wrapText="1"/>
    </xf>
    <xf numFmtId="178" fontId="0" fillId="3" borderId="1" xfId="0" applyNumberFormat="1" applyFill="1" applyBorder="1" applyAlignment="1">
      <alignment horizontal="center" vertical="center" wrapText="1"/>
    </xf>
    <xf numFmtId="178" fontId="0" fillId="7" borderId="1" xfId="0" applyNumberFormat="1" applyFill="1" applyBorder="1" applyAlignment="1">
      <alignment horizontal="center" vertical="center" wrapText="1"/>
    </xf>
    <xf numFmtId="178" fontId="0" fillId="6" borderId="14" xfId="0" applyNumberFormat="1" applyFill="1" applyBorder="1" applyAlignment="1">
      <alignment horizontal="center" vertical="center" wrapText="1"/>
    </xf>
    <xf numFmtId="167" fontId="17" fillId="0" borderId="0" xfId="0" applyNumberFormat="1" applyFont="1"/>
    <xf numFmtId="0" fontId="5" fillId="0" borderId="0" xfId="1" applyFont="1" applyAlignment="1">
      <alignment horizontal="center"/>
    </xf>
    <xf numFmtId="167" fontId="16" fillId="9" borderId="0" xfId="0" applyNumberFormat="1" applyFont="1" applyFill="1"/>
    <xf numFmtId="0" fontId="15" fillId="9" borderId="0" xfId="0" applyFont="1" applyFill="1" applyAlignment="1">
      <alignment horizontal="center" vertical="center"/>
    </xf>
    <xf numFmtId="0" fontId="13" fillId="10" borderId="0" xfId="0" applyFont="1" applyFill="1"/>
    <xf numFmtId="164" fontId="13" fillId="10" borderId="0" xfId="0" applyNumberFormat="1" applyFont="1" applyFill="1"/>
    <xf numFmtId="0" fontId="0" fillId="0" borderId="0" xfId="0" applyAlignment="1">
      <alignment horizontal="right"/>
    </xf>
    <xf numFmtId="164" fontId="0" fillId="0" borderId="10" xfId="0" applyNumberFormat="1" applyBorder="1"/>
    <xf numFmtId="164" fontId="18" fillId="0" borderId="0" xfId="0" applyNumberFormat="1" applyFont="1"/>
    <xf numFmtId="0" fontId="5" fillId="0" borderId="0" xfId="1" applyFont="1" applyAlignment="1">
      <alignment horizontal="center" vertical="center"/>
    </xf>
    <xf numFmtId="0" fontId="5" fillId="0" borderId="0" xfId="1" quotePrefix="1" applyFont="1" applyAlignment="1">
      <alignment horizontal="center" vertical="center"/>
    </xf>
    <xf numFmtId="0" fontId="0" fillId="7" borderId="0" xfId="0" quotePrefix="1" applyFill="1"/>
    <xf numFmtId="0" fontId="0" fillId="7" borderId="0" xfId="0" applyFill="1"/>
    <xf numFmtId="164" fontId="0" fillId="7" borderId="0" xfId="0" applyNumberFormat="1" applyFill="1"/>
    <xf numFmtId="167" fontId="0" fillId="7" borderId="10" xfId="0" applyNumberFormat="1" applyFill="1" applyBorder="1"/>
    <xf numFmtId="0" fontId="11" fillId="0" borderId="0" xfId="0" applyFont="1"/>
    <xf numFmtId="167" fontId="19" fillId="0" borderId="0" xfId="0" applyNumberFormat="1" applyFont="1"/>
    <xf numFmtId="0" fontId="11" fillId="0" borderId="0" xfId="0" quotePrefix="1" applyFont="1"/>
    <xf numFmtId="167" fontId="0" fillId="0" borderId="10" xfId="0" applyNumberFormat="1" applyBorder="1"/>
    <xf numFmtId="167" fontId="18" fillId="0" borderId="0" xfId="0" applyNumberFormat="1" applyFont="1"/>
    <xf numFmtId="167" fontId="0" fillId="0" borderId="10" xfId="0" applyNumberFormat="1" applyBorder="1" applyAlignment="1">
      <alignment horizontal="center"/>
    </xf>
    <xf numFmtId="167" fontId="0" fillId="0" borderId="0" xfId="0" applyNumberFormat="1" applyBorder="1" applyAlignment="1">
      <alignment horizontal="center"/>
    </xf>
    <xf numFmtId="167" fontId="0" fillId="5" borderId="0" xfId="0" applyNumberFormat="1" applyFill="1"/>
    <xf numFmtId="164" fontId="0" fillId="2" borderId="0" xfId="0" applyNumberFormat="1" applyFill="1"/>
    <xf numFmtId="164" fontId="13" fillId="2" borderId="0" xfId="0" applyNumberFormat="1" applyFont="1" applyFill="1"/>
    <xf numFmtId="164" fontId="21" fillId="2" borderId="0" xfId="0" applyNumberFormat="1" applyFont="1" applyFill="1"/>
    <xf numFmtId="164" fontId="7" fillId="2" borderId="0" xfId="0" applyNumberFormat="1" applyFont="1" applyFill="1"/>
    <xf numFmtId="167" fontId="0" fillId="8" borderId="0" xfId="0" applyNumberFormat="1" applyFill="1"/>
    <xf numFmtId="164" fontId="0" fillId="8" borderId="0" xfId="0" applyNumberFormat="1" applyFill="1"/>
    <xf numFmtId="10" fontId="18" fillId="0" borderId="0" xfId="2" applyNumberFormat="1" applyFont="1"/>
    <xf numFmtId="167" fontId="2" fillId="7" borderId="0" xfId="0" applyNumberFormat="1" applyFont="1" applyFill="1"/>
    <xf numFmtId="0" fontId="2" fillId="7" borderId="0" xfId="0" applyFont="1" applyFill="1"/>
    <xf numFmtId="10" fontId="22" fillId="0" borderId="0" xfId="2" applyNumberFormat="1" applyFont="1"/>
    <xf numFmtId="10" fontId="16" fillId="0" borderId="0" xfId="0" applyNumberFormat="1" applyFont="1"/>
    <xf numFmtId="10" fontId="16" fillId="8" borderId="0" xfId="0" applyNumberFormat="1" applyFont="1" applyFill="1"/>
    <xf numFmtId="10" fontId="16" fillId="5" borderId="0" xfId="0" applyNumberFormat="1" applyFont="1" applyFill="1"/>
    <xf numFmtId="9" fontId="16" fillId="0" borderId="0" xfId="0" applyNumberFormat="1" applyFont="1"/>
    <xf numFmtId="10" fontId="22" fillId="0" borderId="0" xfId="0" applyNumberFormat="1" applyFont="1"/>
    <xf numFmtId="10" fontId="22" fillId="0" borderId="0" xfId="0" applyNumberFormat="1" applyFont="1" applyAlignment="1">
      <alignment horizontal="center"/>
    </xf>
    <xf numFmtId="10" fontId="22" fillId="5" borderId="0" xfId="0" applyNumberFormat="1" applyFont="1" applyFill="1"/>
    <xf numFmtId="10" fontId="18" fillId="0" borderId="0" xfId="0" applyNumberFormat="1" applyFont="1"/>
    <xf numFmtId="10" fontId="18" fillId="0" borderId="0" xfId="0" quotePrefix="1" applyNumberFormat="1" applyFont="1" applyAlignment="1">
      <alignment horizontal="center"/>
    </xf>
    <xf numFmtId="167" fontId="2" fillId="0" borderId="0" xfId="0" quotePrefix="1" applyNumberFormat="1" applyFont="1" applyAlignment="1">
      <alignment horizontal="center"/>
    </xf>
    <xf numFmtId="167" fontId="0" fillId="0" borderId="0" xfId="0" applyNumberFormat="1" applyFon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0" fontId="10" fillId="0" borderId="0" xfId="0" applyFont="1" applyFill="1"/>
    <xf numFmtId="0" fontId="0" fillId="0" borderId="0" xfId="0" applyNumberFormat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18" xfId="0" applyFont="1" applyBorder="1" applyAlignment="1">
      <alignment horizontal="center" wrapText="1"/>
    </xf>
    <xf numFmtId="167" fontId="0" fillId="0" borderId="19" xfId="0" applyNumberFormat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164" fontId="0" fillId="0" borderId="19" xfId="0" applyNumberFormat="1" applyBorder="1" applyAlignment="1">
      <alignment horizontal="center" vertical="center"/>
    </xf>
    <xf numFmtId="0" fontId="10" fillId="5" borderId="0" xfId="0" applyFont="1" applyFill="1"/>
    <xf numFmtId="0" fontId="15" fillId="5" borderId="0" xfId="0" applyFont="1" applyFill="1" applyBorder="1" applyAlignment="1">
      <alignment horizontal="center" wrapText="1"/>
    </xf>
    <xf numFmtId="167" fontId="0" fillId="5" borderId="0" xfId="0" applyNumberFormat="1" applyFill="1" applyBorder="1" applyAlignment="1">
      <alignment horizontal="center" vertical="center"/>
    </xf>
    <xf numFmtId="0" fontId="15" fillId="0" borderId="21" xfId="0" applyFont="1" applyBorder="1" applyAlignment="1">
      <alignment horizontal="center" wrapText="1"/>
    </xf>
    <xf numFmtId="167" fontId="0" fillId="0" borderId="22" xfId="0" applyNumberFormat="1" applyBorder="1" applyAlignment="1">
      <alignment horizontal="center" vertical="center"/>
    </xf>
    <xf numFmtId="0" fontId="0" fillId="0" borderId="22" xfId="0" applyBorder="1"/>
    <xf numFmtId="0" fontId="0" fillId="0" borderId="23" xfId="0" applyBorder="1"/>
    <xf numFmtId="0" fontId="15" fillId="0" borderId="24" xfId="0" applyFont="1" applyBorder="1" applyAlignment="1">
      <alignment horizontal="center" wrapText="1"/>
    </xf>
    <xf numFmtId="167" fontId="0" fillId="0" borderId="25" xfId="0" applyNumberFormat="1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2" fillId="0" borderId="0" xfId="0" applyFont="1" applyAlignment="1">
      <alignment horizontal="left"/>
    </xf>
    <xf numFmtId="179" fontId="0" fillId="0" borderId="0" xfId="0" applyNumberFormat="1"/>
    <xf numFmtId="180" fontId="0" fillId="0" borderId="0" xfId="0" applyNumberFormat="1"/>
    <xf numFmtId="181" fontId="0" fillId="0" borderId="0" xfId="0" applyNumberFormat="1"/>
    <xf numFmtId="0" fontId="24" fillId="0" borderId="0" xfId="1" applyFont="1" applyAlignment="1">
      <alignment horizontal="center"/>
    </xf>
    <xf numFmtId="182" fontId="13" fillId="0" borderId="0" xfId="0" applyNumberFormat="1" applyFont="1" applyAlignment="1">
      <alignment horizontal="center" vertical="center"/>
    </xf>
    <xf numFmtId="0" fontId="23" fillId="5" borderId="0" xfId="1" applyFont="1" applyFill="1" applyAlignment="1">
      <alignment horizontal="center"/>
    </xf>
    <xf numFmtId="0" fontId="15" fillId="5" borderId="0" xfId="0" applyFont="1" applyFill="1" applyAlignment="1">
      <alignment horizontal="center" wrapText="1"/>
    </xf>
    <xf numFmtId="0" fontId="15" fillId="5" borderId="0" xfId="0" applyFont="1" applyFill="1" applyAlignment="1">
      <alignment horizontal="center" vertical="center" wrapText="1"/>
    </xf>
    <xf numFmtId="183" fontId="13" fillId="0" borderId="0" xfId="0" applyNumberFormat="1" applyFont="1" applyAlignment="1">
      <alignment horizontal="center"/>
    </xf>
    <xf numFmtId="185" fontId="0" fillId="0" borderId="0" xfId="0" applyNumberFormat="1" applyAlignment="1">
      <alignment horizontal="center" vertical="center"/>
    </xf>
    <xf numFmtId="183" fontId="0" fillId="0" borderId="0" xfId="0" applyNumberFormat="1" applyAlignment="1">
      <alignment horizontal="center"/>
    </xf>
    <xf numFmtId="186" fontId="13" fillId="0" borderId="0" xfId="0" applyNumberFormat="1" applyFont="1" applyAlignment="1">
      <alignment horizontal="center"/>
    </xf>
    <xf numFmtId="187" fontId="13" fillId="0" borderId="0" xfId="0" applyNumberFormat="1" applyFont="1" applyAlignment="1">
      <alignment horizontal="center" vertical="center"/>
    </xf>
    <xf numFmtId="188" fontId="13" fillId="0" borderId="0" xfId="0" applyNumberFormat="1" applyFont="1" applyAlignment="1">
      <alignment horizontal="center" vertical="center"/>
    </xf>
    <xf numFmtId="189" fontId="13" fillId="0" borderId="0" xfId="0" applyNumberFormat="1" applyFont="1" applyAlignment="1">
      <alignment horizontal="center" vertical="center"/>
    </xf>
    <xf numFmtId="185" fontId="13" fillId="0" borderId="0" xfId="0" applyNumberFormat="1" applyFont="1" applyAlignment="1">
      <alignment horizontal="center"/>
    </xf>
    <xf numFmtId="190" fontId="13" fillId="0" borderId="0" xfId="0" applyNumberFormat="1" applyFont="1" applyAlignment="1">
      <alignment horizontal="center" vertical="center"/>
    </xf>
    <xf numFmtId="191" fontId="13" fillId="0" borderId="0" xfId="0" applyNumberFormat="1" applyFont="1" applyAlignment="1">
      <alignment horizontal="center" vertical="center"/>
    </xf>
    <xf numFmtId="192" fontId="13" fillId="0" borderId="0" xfId="0" applyNumberFormat="1" applyFont="1" applyAlignment="1">
      <alignment horizontal="center" vertical="center"/>
    </xf>
    <xf numFmtId="194" fontId="13" fillId="0" borderId="0" xfId="0" applyNumberFormat="1" applyFont="1" applyAlignment="1">
      <alignment horizontal="center" vertical="center"/>
    </xf>
    <xf numFmtId="190" fontId="13" fillId="11" borderId="0" xfId="0" applyNumberFormat="1" applyFont="1" applyFill="1" applyAlignment="1">
      <alignment horizontal="center" vertical="center"/>
    </xf>
    <xf numFmtId="183" fontId="13" fillId="11" borderId="0" xfId="0" applyNumberFormat="1" applyFont="1" applyFill="1" applyAlignment="1">
      <alignment horizontal="center"/>
    </xf>
    <xf numFmtId="182" fontId="13" fillId="11" borderId="0" xfId="0" applyNumberFormat="1" applyFont="1" applyFill="1" applyAlignment="1">
      <alignment horizontal="center" vertical="center"/>
    </xf>
    <xf numFmtId="196" fontId="13" fillId="0" borderId="0" xfId="0" applyNumberFormat="1" applyFont="1" applyAlignment="1">
      <alignment horizontal="center" vertical="center"/>
    </xf>
    <xf numFmtId="197" fontId="13" fillId="0" borderId="0" xfId="0" applyNumberFormat="1" applyFont="1" applyAlignment="1">
      <alignment horizontal="center"/>
    </xf>
    <xf numFmtId="0" fontId="0" fillId="0" borderId="0" xfId="0" applyAlignment="1"/>
    <xf numFmtId="0" fontId="13" fillId="0" borderId="0" xfId="0" applyFont="1" applyAlignment="1"/>
    <xf numFmtId="0" fontId="13" fillId="0" borderId="0" xfId="0" applyFont="1" applyAlignment="1">
      <alignment horizontal="center"/>
    </xf>
    <xf numFmtId="198" fontId="13" fillId="0" borderId="0" xfId="0" applyNumberFormat="1" applyFont="1"/>
    <xf numFmtId="199" fontId="13" fillId="0" borderId="0" xfId="0" applyNumberFormat="1" applyFont="1" applyAlignment="1">
      <alignment horizontal="center"/>
    </xf>
    <xf numFmtId="201" fontId="13" fillId="0" borderId="0" xfId="0" applyNumberFormat="1" applyFont="1" applyAlignment="1">
      <alignment horizontal="center"/>
    </xf>
    <xf numFmtId="204" fontId="13" fillId="0" borderId="0" xfId="0" applyNumberFormat="1" applyFont="1"/>
    <xf numFmtId="188" fontId="13" fillId="0" borderId="0" xfId="0" applyNumberFormat="1" applyFont="1" applyAlignment="1">
      <alignment horizontal="center"/>
    </xf>
    <xf numFmtId="192" fontId="13" fillId="0" borderId="0" xfId="0" applyNumberFormat="1" applyFont="1" applyAlignment="1">
      <alignment horizontal="center"/>
    </xf>
    <xf numFmtId="198" fontId="13" fillId="0" borderId="0" xfId="0" applyNumberFormat="1" applyFont="1" applyAlignment="1"/>
    <xf numFmtId="200" fontId="13" fillId="0" borderId="0" xfId="0" applyNumberFormat="1" applyFont="1" applyAlignment="1"/>
    <xf numFmtId="202" fontId="13" fillId="0" borderId="0" xfId="0" applyNumberFormat="1" applyFont="1" applyAlignment="1"/>
    <xf numFmtId="203" fontId="13" fillId="0" borderId="0" xfId="0" applyNumberFormat="1" applyFont="1" applyAlignment="1"/>
    <xf numFmtId="204" fontId="13" fillId="0" borderId="0" xfId="0" applyNumberFormat="1" applyFont="1" applyAlignment="1"/>
    <xf numFmtId="0" fontId="24" fillId="0" borderId="0" xfId="1" applyFont="1" applyAlignment="1">
      <alignment horizontal="center" vertical="center"/>
    </xf>
    <xf numFmtId="185" fontId="13" fillId="0" borderId="0" xfId="0" applyNumberFormat="1" applyFont="1" applyAlignment="1">
      <alignment horizontal="center" vertical="center"/>
    </xf>
    <xf numFmtId="183" fontId="13" fillId="11" borderId="0" xfId="0" applyNumberFormat="1" applyFont="1" applyFill="1" applyAlignment="1">
      <alignment horizontal="center" vertical="center"/>
    </xf>
    <xf numFmtId="197" fontId="13" fillId="0" borderId="0" xfId="0" applyNumberFormat="1" applyFont="1" applyAlignment="1">
      <alignment horizontal="center" vertical="center"/>
    </xf>
    <xf numFmtId="199" fontId="13" fillId="0" borderId="0" xfId="0" applyNumberFormat="1" applyFont="1" applyAlignment="1">
      <alignment horizontal="center" vertical="center"/>
    </xf>
    <xf numFmtId="198" fontId="13" fillId="0" borderId="0" xfId="0" applyNumberFormat="1" applyFont="1" applyAlignment="1">
      <alignment vertical="center"/>
    </xf>
    <xf numFmtId="200" fontId="13" fillId="0" borderId="0" xfId="0" applyNumberFormat="1" applyFont="1" applyAlignment="1">
      <alignment vertical="center"/>
    </xf>
    <xf numFmtId="201" fontId="13" fillId="0" borderId="0" xfId="0" applyNumberFormat="1" applyFont="1" applyAlignment="1">
      <alignment horizontal="center" vertical="center"/>
    </xf>
    <xf numFmtId="202" fontId="13" fillId="0" borderId="0" xfId="0" applyNumberFormat="1" applyFont="1" applyAlignment="1">
      <alignment vertical="center"/>
    </xf>
    <xf numFmtId="203" fontId="13" fillId="0" borderId="0" xfId="0" applyNumberFormat="1" applyFont="1" applyAlignment="1">
      <alignment vertical="center"/>
    </xf>
    <xf numFmtId="204" fontId="13" fillId="0" borderId="0" xfId="0" applyNumberFormat="1" applyFont="1" applyAlignment="1">
      <alignment vertical="center"/>
    </xf>
    <xf numFmtId="205" fontId="13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187" fontId="13" fillId="0" borderId="0" xfId="0" applyNumberFormat="1" applyFont="1" applyAlignment="1">
      <alignment horizontal="center"/>
    </xf>
    <xf numFmtId="206" fontId="13" fillId="0" borderId="0" xfId="0" applyNumberFormat="1" applyFont="1" applyAlignment="1">
      <alignment vertical="center" wrapText="1"/>
    </xf>
    <xf numFmtId="184" fontId="13" fillId="0" borderId="0" xfId="0" applyNumberFormat="1" applyFont="1" applyAlignment="1">
      <alignment horizontal="center"/>
    </xf>
    <xf numFmtId="195" fontId="13" fillId="0" borderId="0" xfId="0" applyNumberFormat="1" applyFont="1" applyAlignment="1">
      <alignment horizontal="center"/>
    </xf>
    <xf numFmtId="208" fontId="13" fillId="0" borderId="0" xfId="0" applyNumberFormat="1" applyFont="1" applyBorder="1" applyAlignment="1">
      <alignment wrapText="1"/>
    </xf>
    <xf numFmtId="209" fontId="13" fillId="0" borderId="0" xfId="0" applyNumberFormat="1" applyFont="1" applyAlignment="1">
      <alignment horizontal="center" vertical="center"/>
    </xf>
    <xf numFmtId="210" fontId="13" fillId="0" borderId="0" xfId="0" applyNumberFormat="1" applyFont="1" applyAlignment="1">
      <alignment horizontal="center" vertical="center"/>
    </xf>
    <xf numFmtId="211" fontId="13" fillId="0" borderId="0" xfId="0" applyNumberFormat="1" applyFont="1" applyAlignment="1">
      <alignment horizontal="center" vertical="center"/>
    </xf>
    <xf numFmtId="211" fontId="13" fillId="0" borderId="0" xfId="0" applyNumberFormat="1" applyFont="1" applyAlignment="1">
      <alignment horizontal="center"/>
    </xf>
    <xf numFmtId="212" fontId="13" fillId="0" borderId="0" xfId="0" applyNumberFormat="1" applyFont="1" applyAlignment="1">
      <alignment horizontal="center" vertical="center"/>
    </xf>
    <xf numFmtId="213" fontId="13" fillId="0" borderId="0" xfId="0" applyNumberFormat="1" applyFont="1" applyAlignment="1">
      <alignment horizontal="center" vertical="center"/>
    </xf>
    <xf numFmtId="187" fontId="13" fillId="0" borderId="0" xfId="0" applyNumberFormat="1" applyFont="1"/>
    <xf numFmtId="214" fontId="13" fillId="0" borderId="0" xfId="0" applyNumberFormat="1" applyFont="1" applyBorder="1" applyAlignment="1">
      <alignment wrapText="1"/>
    </xf>
    <xf numFmtId="186" fontId="13" fillId="0" borderId="0" xfId="0" applyNumberFormat="1" applyFont="1"/>
    <xf numFmtId="186" fontId="13" fillId="0" borderId="0" xfId="0" applyNumberFormat="1" applyFont="1" applyAlignment="1">
      <alignment horizontal="center" vertical="center"/>
    </xf>
    <xf numFmtId="215" fontId="13" fillId="0" borderId="0" xfId="0" applyNumberFormat="1" applyFont="1" applyAlignment="1">
      <alignment horizontal="center" vertical="center"/>
    </xf>
    <xf numFmtId="183" fontId="13" fillId="0" borderId="0" xfId="0" applyNumberFormat="1" applyFont="1" applyAlignment="1">
      <alignment horizontal="center" vertical="center"/>
    </xf>
    <xf numFmtId="216" fontId="13" fillId="0" borderId="0" xfId="0" applyNumberFormat="1" applyFont="1" applyAlignment="1">
      <alignment horizontal="center" vertical="center"/>
    </xf>
    <xf numFmtId="217" fontId="13" fillId="0" borderId="0" xfId="0" applyNumberFormat="1" applyFont="1" applyAlignment="1">
      <alignment horizontal="center" vertical="center"/>
    </xf>
    <xf numFmtId="218" fontId="13" fillId="0" borderId="0" xfId="0" applyNumberFormat="1" applyFont="1" applyAlignment="1">
      <alignment horizontal="center" vertical="center"/>
    </xf>
    <xf numFmtId="219" fontId="13" fillId="0" borderId="0" xfId="0" applyNumberFormat="1" applyFont="1" applyAlignment="1">
      <alignment horizontal="center" vertical="center"/>
    </xf>
    <xf numFmtId="220" fontId="13" fillId="0" borderId="0" xfId="0" applyNumberFormat="1" applyFont="1" applyAlignment="1">
      <alignment horizontal="center" vertical="center"/>
    </xf>
    <xf numFmtId="221" fontId="13" fillId="0" borderId="0" xfId="0" applyNumberFormat="1" applyFont="1" applyAlignment="1">
      <alignment horizontal="center" vertical="center"/>
    </xf>
    <xf numFmtId="222" fontId="13" fillId="0" borderId="0" xfId="0" applyNumberFormat="1" applyFont="1" applyAlignment="1">
      <alignment horizontal="center" vertical="center"/>
    </xf>
    <xf numFmtId="222" fontId="13" fillId="0" borderId="0" xfId="0" applyNumberFormat="1" applyFont="1" applyAlignment="1">
      <alignment horizontal="center"/>
    </xf>
    <xf numFmtId="223" fontId="13" fillId="0" borderId="0" xfId="0" applyNumberFormat="1" applyFont="1" applyAlignment="1">
      <alignment horizontal="center" vertical="center"/>
    </xf>
    <xf numFmtId="193" fontId="13" fillId="0" borderId="0" xfId="0" applyNumberFormat="1" applyFont="1" applyAlignment="1">
      <alignment horizontal="center"/>
    </xf>
    <xf numFmtId="0" fontId="15" fillId="11" borderId="0" xfId="0" applyFont="1" applyFill="1" applyAlignment="1">
      <alignment horizontal="center"/>
    </xf>
    <xf numFmtId="0" fontId="13" fillId="11" borderId="0" xfId="0" applyFont="1" applyFill="1"/>
    <xf numFmtId="0" fontId="13" fillId="11" borderId="0" xfId="0" applyFont="1" applyFill="1" applyAlignment="1">
      <alignment horizontal="center" vertical="center"/>
    </xf>
    <xf numFmtId="0" fontId="13" fillId="11" borderId="0" xfId="0" applyFont="1" applyFill="1" applyAlignment="1">
      <alignment horizontal="center"/>
    </xf>
    <xf numFmtId="0" fontId="0" fillId="11" borderId="0" xfId="0" applyFill="1"/>
    <xf numFmtId="224" fontId="13" fillId="0" borderId="0" xfId="0" applyNumberFormat="1" applyFont="1" applyBorder="1" applyAlignment="1">
      <alignment wrapText="1"/>
    </xf>
    <xf numFmtId="207" fontId="13" fillId="0" borderId="0" xfId="0" applyNumberFormat="1" applyFont="1"/>
    <xf numFmtId="0" fontId="15" fillId="5" borderId="0" xfId="0" applyNumberFormat="1" applyFont="1" applyFill="1" applyAlignment="1">
      <alignment horizontal="center" wrapText="1"/>
    </xf>
    <xf numFmtId="225" fontId="13" fillId="0" borderId="0" xfId="0" applyNumberFormat="1" applyFont="1" applyAlignment="1">
      <alignment horizontal="center" vertical="center"/>
    </xf>
    <xf numFmtId="225" fontId="13" fillId="0" borderId="0" xfId="0" applyNumberFormat="1" applyFont="1" applyAlignment="1">
      <alignment horizontal="center"/>
    </xf>
    <xf numFmtId="0" fontId="2" fillId="0" borderId="0" xfId="0" applyFont="1" applyAlignment="1">
      <alignment horizontal="right" wrapText="1"/>
    </xf>
    <xf numFmtId="167" fontId="2" fillId="0" borderId="0" xfId="0" applyNumberFormat="1" applyFont="1"/>
    <xf numFmtId="0" fontId="18" fillId="0" borderId="0" xfId="0" applyFont="1"/>
    <xf numFmtId="226" fontId="13" fillId="0" borderId="0" xfId="0" applyNumberFormat="1" applyFont="1" applyAlignment="1">
      <alignment vertical="center" wrapText="1"/>
    </xf>
    <xf numFmtId="207" fontId="0" fillId="0" borderId="0" xfId="0" applyNumberFormat="1"/>
    <xf numFmtId="227" fontId="13" fillId="0" borderId="0" xfId="0" applyNumberFormat="1" applyFont="1" applyAlignment="1">
      <alignment horizontal="center" vertical="center"/>
    </xf>
    <xf numFmtId="228" fontId="13" fillId="0" borderId="0" xfId="0" applyNumberFormat="1" applyFont="1" applyAlignment="1">
      <alignment horizontal="center" vertical="center"/>
    </xf>
    <xf numFmtId="229" fontId="13" fillId="0" borderId="0" xfId="0" applyNumberFormat="1" applyFont="1" applyAlignment="1">
      <alignment horizontal="center" vertical="center"/>
    </xf>
    <xf numFmtId="230" fontId="13" fillId="0" borderId="0" xfId="0" applyNumberFormat="1" applyFont="1" applyAlignment="1">
      <alignment horizontal="center" vertical="center"/>
    </xf>
    <xf numFmtId="230" fontId="13" fillId="0" borderId="0" xfId="0" applyNumberFormat="1" applyFont="1" applyAlignment="1">
      <alignment horizontal="center"/>
    </xf>
    <xf numFmtId="231" fontId="13" fillId="0" borderId="0" xfId="0" applyNumberFormat="1" applyFont="1" applyAlignment="1">
      <alignment horizontal="center" vertical="center"/>
    </xf>
    <xf numFmtId="0" fontId="25" fillId="0" borderId="0" xfId="0" applyFont="1"/>
    <xf numFmtId="0" fontId="2" fillId="0" borderId="0" xfId="0" applyFont="1" applyAlignment="1">
      <alignment wrapText="1"/>
    </xf>
    <xf numFmtId="167" fontId="0" fillId="0" borderId="0" xfId="0" applyNumberFormat="1" applyAlignment="1"/>
    <xf numFmtId="167" fontId="0" fillId="0" borderId="10" xfId="0" applyNumberFormat="1" applyBorder="1" applyAlignment="1"/>
    <xf numFmtId="232" fontId="0" fillId="0" borderId="0" xfId="0" applyNumberFormat="1" applyAlignment="1">
      <alignment horizontal="center" vertical="center"/>
    </xf>
    <xf numFmtId="0" fontId="2" fillId="0" borderId="22" xfId="0" applyFont="1" applyBorder="1"/>
    <xf numFmtId="0" fontId="2" fillId="0" borderId="22" xfId="0" applyFont="1" applyBorder="1" applyAlignment="1">
      <alignment horizontal="center"/>
    </xf>
    <xf numFmtId="167" fontId="0" fillId="0" borderId="22" xfId="0" applyNumberFormat="1" applyBorder="1"/>
    <xf numFmtId="0" fontId="2" fillId="0" borderId="22" xfId="0" applyFont="1" applyBorder="1" applyAlignment="1">
      <alignment wrapText="1"/>
    </xf>
    <xf numFmtId="167" fontId="0" fillId="0" borderId="22" xfId="0" applyNumberFormat="1" applyBorder="1" applyAlignment="1"/>
    <xf numFmtId="167" fontId="0" fillId="0" borderId="23" xfId="0" applyNumberFormat="1" applyBorder="1" applyAlignment="1"/>
    <xf numFmtId="167" fontId="18" fillId="0" borderId="22" xfId="0" applyNumberFormat="1" applyFont="1" applyBorder="1"/>
    <xf numFmtId="167" fontId="0" fillId="0" borderId="10" xfId="0" applyNumberFormat="1" applyBorder="1" applyAlignment="1">
      <alignment horizontal="center" vertical="center"/>
    </xf>
    <xf numFmtId="167" fontId="18" fillId="0" borderId="0" xfId="0" applyNumberFormat="1" applyFont="1" applyBorder="1"/>
    <xf numFmtId="0" fontId="2" fillId="0" borderId="22" xfId="0" applyFont="1" applyBorder="1" applyAlignment="1">
      <alignment horizontal="center" wrapText="1"/>
    </xf>
    <xf numFmtId="233" fontId="0" fillId="0" borderId="0" xfId="0" applyNumberFormat="1" applyAlignment="1">
      <alignment vertical="center"/>
    </xf>
    <xf numFmtId="233" fontId="2" fillId="0" borderId="0" xfId="0" applyNumberFormat="1" applyFont="1"/>
    <xf numFmtId="23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234" fontId="13" fillId="0" borderId="0" xfId="0" applyNumberFormat="1" applyFont="1" applyAlignment="1">
      <alignment horizontal="center" vertical="center"/>
    </xf>
    <xf numFmtId="235" fontId="13" fillId="0" borderId="0" xfId="0" applyNumberFormat="1" applyFont="1" applyAlignment="1">
      <alignment horizontal="center" vertical="center"/>
    </xf>
    <xf numFmtId="236" fontId="13" fillId="0" borderId="0" xfId="0" applyNumberFormat="1" applyFont="1" applyAlignment="1">
      <alignment vertical="center" wrapText="1"/>
    </xf>
    <xf numFmtId="233" fontId="13" fillId="0" borderId="0" xfId="0" applyNumberFormat="1" applyFont="1" applyAlignment="1">
      <alignment horizontal="center" vertical="center"/>
    </xf>
    <xf numFmtId="233" fontId="0" fillId="0" borderId="0" xfId="0" applyNumberFormat="1"/>
    <xf numFmtId="237" fontId="2" fillId="0" borderId="0" xfId="0" applyNumberFormat="1" applyFont="1" applyAlignment="1">
      <alignment horizontal="center" vertical="center"/>
    </xf>
    <xf numFmtId="238" fontId="0" fillId="0" borderId="0" xfId="0" applyNumberFormat="1"/>
    <xf numFmtId="0" fontId="0" fillId="0" borderId="0" xfId="0" applyAlignment="1">
      <alignment horizontal="center" vertical="center" wrapText="1"/>
    </xf>
    <xf numFmtId="239" fontId="13" fillId="0" borderId="0" xfId="0" applyNumberFormat="1" applyFont="1"/>
    <xf numFmtId="240" fontId="13" fillId="0" borderId="0" xfId="0" applyNumberFormat="1" applyFont="1"/>
    <xf numFmtId="241" fontId="13" fillId="0" borderId="0" xfId="0" applyNumberFormat="1" applyFont="1"/>
    <xf numFmtId="242" fontId="15" fillId="0" borderId="0" xfId="3" applyNumberFormat="1" applyFont="1" applyAlignment="1">
      <alignment horizontal="right" vertical="center"/>
    </xf>
    <xf numFmtId="242" fontId="15" fillId="0" borderId="0" xfId="0" applyNumberFormat="1" applyFont="1"/>
    <xf numFmtId="243" fontId="15" fillId="0" borderId="0" xfId="3" applyNumberFormat="1" applyFont="1" applyAlignment="1">
      <alignment horizontal="right" vertical="center"/>
    </xf>
    <xf numFmtId="244" fontId="15" fillId="0" borderId="0" xfId="3" applyNumberFormat="1" applyFont="1" applyAlignment="1">
      <alignment horizontal="right" vertical="center"/>
    </xf>
    <xf numFmtId="244" fontId="15" fillId="0" borderId="10" xfId="3" applyNumberFormat="1" applyFont="1" applyBorder="1" applyAlignment="1">
      <alignment horizontal="right" vertical="center"/>
    </xf>
    <xf numFmtId="0" fontId="10" fillId="0" borderId="0" xfId="0" applyFont="1" applyAlignment="1">
      <alignment horizontal="left"/>
    </xf>
    <xf numFmtId="0" fontId="26" fillId="0" borderId="0" xfId="1" quotePrefix="1" applyFont="1"/>
    <xf numFmtId="246" fontId="0" fillId="0" borderId="0" xfId="0" applyNumberFormat="1"/>
    <xf numFmtId="247" fontId="0" fillId="0" borderId="0" xfId="4" applyNumberFormat="1" applyFont="1"/>
    <xf numFmtId="0" fontId="24" fillId="0" borderId="0" xfId="1" applyFont="1"/>
    <xf numFmtId="248" fontId="13" fillId="0" borderId="0" xfId="0" applyNumberFormat="1" applyFont="1" applyAlignment="1">
      <alignment horizontal="center" vertical="center"/>
    </xf>
    <xf numFmtId="249" fontId="13" fillId="0" borderId="0" xfId="0" applyNumberFormat="1" applyFont="1" applyAlignment="1">
      <alignment horizontal="center" vertical="center"/>
    </xf>
    <xf numFmtId="250" fontId="13" fillId="0" borderId="0" xfId="0" applyNumberFormat="1" applyFont="1" applyAlignment="1">
      <alignment horizontal="center" vertical="center"/>
    </xf>
    <xf numFmtId="251" fontId="13" fillId="0" borderId="0" xfId="0" applyNumberFormat="1" applyFont="1" applyAlignment="1">
      <alignment vertical="center" wrapText="1"/>
    </xf>
    <xf numFmtId="252" fontId="13" fillId="0" borderId="0" xfId="0" applyNumberFormat="1" applyFont="1" applyAlignment="1">
      <alignment horizontal="center" vertical="center"/>
    </xf>
    <xf numFmtId="253" fontId="1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254" fontId="13" fillId="0" borderId="0" xfId="0" applyNumberFormat="1" applyFont="1"/>
    <xf numFmtId="245" fontId="15" fillId="9" borderId="0" xfId="0" applyNumberFormat="1" applyFont="1" applyFill="1"/>
    <xf numFmtId="0" fontId="15" fillId="9" borderId="0" xfId="0" applyFont="1" applyFill="1"/>
    <xf numFmtId="167" fontId="22" fillId="0" borderId="0" xfId="0" applyNumberFormat="1" applyFont="1"/>
    <xf numFmtId="0" fontId="13" fillId="0" borderId="0" xfId="0" applyFont="1" applyAlignment="1">
      <alignment horizontal="right"/>
    </xf>
    <xf numFmtId="167" fontId="22" fillId="9" borderId="0" xfId="0" applyNumberFormat="1" applyFont="1" applyFill="1"/>
    <xf numFmtId="176" fontId="0" fillId="7" borderId="12" xfId="0" applyNumberFormat="1" applyFill="1" applyBorder="1" applyAlignment="1">
      <alignment horizontal="center" vertical="center" wrapText="1"/>
    </xf>
    <xf numFmtId="0" fontId="27" fillId="7" borderId="3" xfId="0" applyFont="1" applyFill="1" applyBorder="1" applyAlignment="1">
      <alignment vertical="center" wrapText="1"/>
    </xf>
    <xf numFmtId="0" fontId="0" fillId="7" borderId="12" xfId="0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233" fontId="0" fillId="0" borderId="0" xfId="0" applyNumberFormat="1" applyFont="1"/>
    <xf numFmtId="255" fontId="13" fillId="0" borderId="0" xfId="0" applyNumberFormat="1" applyFont="1" applyAlignment="1">
      <alignment horizontal="center" vertical="center"/>
    </xf>
    <xf numFmtId="256" fontId="0" fillId="0" borderId="0" xfId="0" applyNumberFormat="1"/>
    <xf numFmtId="232" fontId="13" fillId="0" borderId="0" xfId="2" applyNumberFormat="1" applyFont="1"/>
    <xf numFmtId="0" fontId="0" fillId="8" borderId="0" xfId="0" applyFill="1"/>
    <xf numFmtId="0" fontId="0" fillId="12" borderId="0" xfId="0" applyFill="1"/>
    <xf numFmtId="0" fontId="15" fillId="12" borderId="0" xfId="0" applyFont="1" applyFill="1"/>
    <xf numFmtId="0" fontId="15" fillId="12" borderId="0" xfId="0" applyFont="1" applyFill="1" applyAlignment="1">
      <alignment horizontal="center" vertical="center"/>
    </xf>
    <xf numFmtId="167" fontId="0" fillId="12" borderId="0" xfId="0" applyNumberFormat="1" applyFill="1"/>
    <xf numFmtId="167" fontId="22" fillId="12" borderId="0" xfId="0" applyNumberFormat="1" applyFont="1" applyFill="1"/>
    <xf numFmtId="0" fontId="13" fillId="12" borderId="0" xfId="0" applyFont="1" applyFill="1"/>
    <xf numFmtId="167" fontId="16" fillId="0" borderId="0" xfId="0" applyNumberFormat="1" applyFont="1"/>
    <xf numFmtId="0" fontId="16" fillId="0" borderId="0" xfId="0" applyFont="1"/>
    <xf numFmtId="167" fontId="13" fillId="12" borderId="0" xfId="0" applyNumberFormat="1" applyFont="1" applyFill="1"/>
    <xf numFmtId="6" fontId="0" fillId="0" borderId="0" xfId="0" applyNumberFormat="1"/>
    <xf numFmtId="6" fontId="17" fillId="0" borderId="0" xfId="0" applyNumberFormat="1" applyFont="1"/>
    <xf numFmtId="0" fontId="0" fillId="4" borderId="4" xfId="0" applyFill="1" applyBorder="1" applyAlignment="1">
      <alignment vertical="center" wrapText="1"/>
    </xf>
    <xf numFmtId="0" fontId="0" fillId="4" borderId="5" xfId="0" applyFill="1" applyBorder="1" applyAlignment="1">
      <alignment vertical="center" wrapText="1"/>
    </xf>
    <xf numFmtId="0" fontId="0" fillId="0" borderId="10" xfId="0" applyBorder="1" applyAlignment="1">
      <alignment horizontal="center" vertical="center"/>
    </xf>
  </cellXfs>
  <cellStyles count="5">
    <cellStyle name="Comma" xfId="4" builtinId="3"/>
    <cellStyle name="Currency" xfId="3" builtinId="4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..\RTV\First_RTV_Year.htm" TargetMode="External"/><Relationship Id="rId2" Type="http://schemas.openxmlformats.org/officeDocument/2006/relationships/hyperlink" Target="../3TeamChall/1/East_Coast_Tri-Sports_Challenge.htm" TargetMode="External"/><Relationship Id="rId1" Type="http://schemas.openxmlformats.org/officeDocument/2006/relationships/hyperlink" Target="..\3TeamChall\1\West_Coast_Tri-Sports_Challenge.htm" TargetMode="External"/><Relationship Id="rId4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../RTV/Third_RTV_Year.htm" TargetMode="External"/><Relationship Id="rId1" Type="http://schemas.openxmlformats.org/officeDocument/2006/relationships/hyperlink" Target="../3TeamChall/3/Capital_City_Venue.ht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../3TeamChall/3/Year_11_Teams'_I.T._Geek_Challenge.htm" TargetMode="External"/><Relationship Id="rId2" Type="http://schemas.openxmlformats.org/officeDocument/2006/relationships/hyperlink" Target="../3TeamChall/2/Year10MixedTeamsPublicSpeakingChallenge.htm" TargetMode="External"/><Relationship Id="rId1" Type="http://schemas.openxmlformats.org/officeDocument/2006/relationships/hyperlink" Target="../3TeamChall/1/Year_9_Mixed_Teams_Tri-Sports_Challenge.htm" TargetMode="External"/><Relationship Id="rId4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../RTV/Third_RTV_Year.htm" TargetMode="External"/><Relationship Id="rId2" Type="http://schemas.openxmlformats.org/officeDocument/2006/relationships/hyperlink" Target="../RTV/Second_RTV_Year.htm" TargetMode="External"/><Relationship Id="rId1" Type="http://schemas.openxmlformats.org/officeDocument/2006/relationships/hyperlink" Target="../RTV/First_RTV_Year.htm" TargetMode="External"/><Relationship Id="rId4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../Mentors/Local_Connectors.htm" TargetMode="External"/><Relationship Id="rId13" Type="http://schemas.openxmlformats.org/officeDocument/2006/relationships/printerSettings" Target="../printerSettings/printerSettings13.bin"/><Relationship Id="rId3" Type="http://schemas.openxmlformats.org/officeDocument/2006/relationships/hyperlink" Target="..\Mentors\c_TeamCoach\Team_Sporting_Coaches.htm" TargetMode="External"/><Relationship Id="rId7" Type="http://schemas.openxmlformats.org/officeDocument/2006/relationships/hyperlink" Target="../Students/Accepted_Year_9_School_Students.htm" TargetMode="External"/><Relationship Id="rId12" Type="http://schemas.openxmlformats.org/officeDocument/2006/relationships/hyperlink" Target="..\Mentors\c_TeamCoach\YoungerCorpSponsorSportsEmployees.htm" TargetMode="External"/><Relationship Id="rId2" Type="http://schemas.openxmlformats.org/officeDocument/2006/relationships/hyperlink" Target="../Mentors/Cross_Section_Of_Mentors.htm" TargetMode="External"/><Relationship Id="rId1" Type="http://schemas.openxmlformats.org/officeDocument/2006/relationships/hyperlink" Target="Six_Regional_School_Teams_Co-ordinators.htm" TargetMode="External"/><Relationship Id="rId6" Type="http://schemas.openxmlformats.org/officeDocument/2006/relationships/hyperlink" Target="../Core/Panel_Of_Three_Judges.htm" TargetMode="External"/><Relationship Id="rId11" Type="http://schemas.openxmlformats.org/officeDocument/2006/relationships/hyperlink" Target="..\Mentors\b_Role_Models\Sporting_Role_Models.htm" TargetMode="External"/><Relationship Id="rId5" Type="http://schemas.openxmlformats.org/officeDocument/2006/relationships/hyperlink" Target="../Students/Year_9_Applicant_Interviewer.htm" TargetMode="External"/><Relationship Id="rId10" Type="http://schemas.openxmlformats.org/officeDocument/2006/relationships/hyperlink" Target="../Mentors/e_Guardians/Life_Skills_Guardians.htm" TargetMode="External"/><Relationship Id="rId4" Type="http://schemas.openxmlformats.org/officeDocument/2006/relationships/hyperlink" Target="..\Mentors\b_Role_Models\Sporting_Role_Models.htm" TargetMode="External"/><Relationship Id="rId9" Type="http://schemas.openxmlformats.org/officeDocument/2006/relationships/hyperlink" Target="../Mentors/Local_Connectors.htm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..\Mentors\b_Role_Models\Sporting_Role_Models.htm" TargetMode="External"/><Relationship Id="rId3" Type="http://schemas.openxmlformats.org/officeDocument/2006/relationships/hyperlink" Target="../Core/Panel_Of_Three_Judges.htm" TargetMode="External"/><Relationship Id="rId7" Type="http://schemas.openxmlformats.org/officeDocument/2006/relationships/hyperlink" Target="../Mentors/e_Guardians/Life_Skills_Guardians.htm" TargetMode="External"/><Relationship Id="rId2" Type="http://schemas.openxmlformats.org/officeDocument/2006/relationships/hyperlink" Target="..\Mentors\b_Role_Models\Sporting_Role_Models.htm" TargetMode="External"/><Relationship Id="rId1" Type="http://schemas.openxmlformats.org/officeDocument/2006/relationships/hyperlink" Target="../Mentors/Cross_Section_Of_Mentors.htm" TargetMode="External"/><Relationship Id="rId6" Type="http://schemas.openxmlformats.org/officeDocument/2006/relationships/hyperlink" Target="../3TeamChall/2/Public_Speaking_Instructors.htm" TargetMode="External"/><Relationship Id="rId11" Type="http://schemas.openxmlformats.org/officeDocument/2006/relationships/printerSettings" Target="../printerSettings/printerSettings14.bin"/><Relationship Id="rId5" Type="http://schemas.openxmlformats.org/officeDocument/2006/relationships/hyperlink" Target="..\Mentors\Local_Connectors.htm" TargetMode="External"/><Relationship Id="rId10" Type="http://schemas.openxmlformats.org/officeDocument/2006/relationships/hyperlink" Target="Six_Regional_School_Teams_Co-ordinators.htm" TargetMode="External"/><Relationship Id="rId4" Type="http://schemas.openxmlformats.org/officeDocument/2006/relationships/hyperlink" Target="../Students/Accepted_Year_9_School_Students.htm" TargetMode="External"/><Relationship Id="rId9" Type="http://schemas.openxmlformats.org/officeDocument/2006/relationships/hyperlink" Target="../Mentors/Local_Connectors.htm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Six_Regional_School_Teams_Co-ordinators.htm" TargetMode="External"/><Relationship Id="rId3" Type="http://schemas.openxmlformats.org/officeDocument/2006/relationships/hyperlink" Target="../Core/Panel_Of_Three_Judges.htm" TargetMode="External"/><Relationship Id="rId7" Type="http://schemas.openxmlformats.org/officeDocument/2006/relationships/hyperlink" Target="../Mentors/Local_Connectors.htm" TargetMode="External"/><Relationship Id="rId2" Type="http://schemas.openxmlformats.org/officeDocument/2006/relationships/hyperlink" Target="..\Mentors\b_Role_Models\Sporting_Role_Models.htm" TargetMode="External"/><Relationship Id="rId1" Type="http://schemas.openxmlformats.org/officeDocument/2006/relationships/hyperlink" Target="../Mentors/Cross_Section_Of_Mentors.htm" TargetMode="External"/><Relationship Id="rId6" Type="http://schemas.openxmlformats.org/officeDocument/2006/relationships/hyperlink" Target="../3TeamChall/3/I.T._Geek_Nerds.htm" TargetMode="External"/><Relationship Id="rId5" Type="http://schemas.openxmlformats.org/officeDocument/2006/relationships/hyperlink" Target="../Mentors/Local_Connectors.htm" TargetMode="External"/><Relationship Id="rId4" Type="http://schemas.openxmlformats.org/officeDocument/2006/relationships/hyperlink" Target="../Students/Accepted_Year_9_School_Students.htm" TargetMode="External"/><Relationship Id="rId9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../3TeamChall/3/Year_11_Teams'_I.T._Geek_Challenge.htm" TargetMode="External"/><Relationship Id="rId2" Type="http://schemas.openxmlformats.org/officeDocument/2006/relationships/hyperlink" Target="../3TeamChall/2/Year10MixedTeamsPublicSpeakingChallenge.htm" TargetMode="External"/><Relationship Id="rId1" Type="http://schemas.openxmlformats.org/officeDocument/2006/relationships/hyperlink" Target="../3TeamChall/1/Year_9_Mixed_Teams_Tri-Sports_Challenge.htm" TargetMode="External"/><Relationship Id="rId4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../3TeamChall/1/Year_9_Mixed_Teams_Tri-Sports_Challenge.htm" TargetMode="External"/><Relationship Id="rId2" Type="http://schemas.openxmlformats.org/officeDocument/2006/relationships/hyperlink" Target="../3TeamChall/3/Year_11_Teams'_I.T._Geek_Challenge.htm" TargetMode="External"/><Relationship Id="rId1" Type="http://schemas.openxmlformats.org/officeDocument/2006/relationships/hyperlink" Target="../3TeamChall/2/Year10MixedTeamsPublicSpeakingChallenge.htm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../3TeamChall/1/Three_Mixed_Teams_Sports.htm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../RTV/Second_RTV_Year.htm" TargetMode="External"/><Relationship Id="rId3" Type="http://schemas.openxmlformats.org/officeDocument/2006/relationships/hyperlink" Target="..\3TeamChall\3\Year_11_Teams'_I.T._Geek_Challenge.htm" TargetMode="External"/><Relationship Id="rId7" Type="http://schemas.openxmlformats.org/officeDocument/2006/relationships/hyperlink" Target="../RTV/Third_RTV_Year.htm" TargetMode="External"/><Relationship Id="rId2" Type="http://schemas.openxmlformats.org/officeDocument/2006/relationships/hyperlink" Target="../3TeamChall/2/Year10MixedTeamsPublicSpeakingChallenge.htm" TargetMode="External"/><Relationship Id="rId1" Type="http://schemas.openxmlformats.org/officeDocument/2006/relationships/hyperlink" Target="..\3TeamChall\1\Year_9_Mixed_Teams_Tri-Sports_Challenge.htm" TargetMode="External"/><Relationship Id="rId6" Type="http://schemas.openxmlformats.org/officeDocument/2006/relationships/hyperlink" Target="../RTV/Second_RTV_Year.htm" TargetMode="External"/><Relationship Id="rId5" Type="http://schemas.openxmlformats.org/officeDocument/2006/relationships/hyperlink" Target="../RTV/First_RTV_Year.htm" TargetMode="External"/><Relationship Id="rId4" Type="http://schemas.openxmlformats.org/officeDocument/2006/relationships/hyperlink" Target="../Mentors/e_Guardians/ThreeNastyPitfallsBesettingTeenagers.htm" TargetMode="External"/><Relationship Id="rId9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../RTV/Third_RTV_Year.htm" TargetMode="External"/><Relationship Id="rId3" Type="http://schemas.openxmlformats.org/officeDocument/2006/relationships/hyperlink" Target="../3TeamChall/2/Northern_City_Public_Speaking_Challenge.htm" TargetMode="External"/><Relationship Id="rId7" Type="http://schemas.openxmlformats.org/officeDocument/2006/relationships/hyperlink" Target="../RTV/Second_RTV_Year.htm" TargetMode="External"/><Relationship Id="rId2" Type="http://schemas.openxmlformats.org/officeDocument/2006/relationships/hyperlink" Target="../3TeamChall/1/East_Coast_Tri-Sports_Challenge.htm" TargetMode="External"/><Relationship Id="rId1" Type="http://schemas.openxmlformats.org/officeDocument/2006/relationships/hyperlink" Target="../3TeamChall/1/West_Coast_Tri-Sports_Challenge.htm" TargetMode="External"/><Relationship Id="rId6" Type="http://schemas.openxmlformats.org/officeDocument/2006/relationships/hyperlink" Target="../RTV/First_RTV_Year.htm" TargetMode="External"/><Relationship Id="rId5" Type="http://schemas.openxmlformats.org/officeDocument/2006/relationships/hyperlink" Target="../3TeamChall/3/Capital_City_Venue.htm" TargetMode="External"/><Relationship Id="rId4" Type="http://schemas.openxmlformats.org/officeDocument/2006/relationships/hyperlink" Target="../3TeamChall/2/Southern_City_Public_Speaking_Challenge.ht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../RTV/Third_RTV_Year.htm" TargetMode="External"/><Relationship Id="rId2" Type="http://schemas.openxmlformats.org/officeDocument/2006/relationships/hyperlink" Target="../RTV/Second_RTV_Year.htm" TargetMode="External"/><Relationship Id="rId1" Type="http://schemas.openxmlformats.org/officeDocument/2006/relationships/hyperlink" Target="../RTV/First_RTV_Year.htm" TargetMode="External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13"/>
  <sheetViews>
    <sheetView topLeftCell="C12" workbookViewId="0">
      <selection activeCell="W16" sqref="W16"/>
    </sheetView>
  </sheetViews>
  <sheetFormatPr defaultRowHeight="12.75" x14ac:dyDescent="0.2"/>
  <cols>
    <col min="1" max="1" width="7.5703125" customWidth="1"/>
    <col min="2" max="2" width="46.140625" customWidth="1"/>
    <col min="3" max="3" width="11.140625" customWidth="1"/>
    <col min="4" max="4" width="1" style="68" customWidth="1"/>
    <col min="7" max="7" width="8.7109375" customWidth="1"/>
    <col min="8" max="8" width="12.7109375" customWidth="1"/>
    <col min="9" max="9" width="1.140625" style="68" customWidth="1"/>
    <col min="10" max="10" width="28.42578125" customWidth="1"/>
    <col min="12" max="12" width="1.140625" style="68" customWidth="1"/>
    <col min="13" max="13" width="36.5703125" customWidth="1"/>
    <col min="14" max="14" width="11.7109375" customWidth="1"/>
    <col min="15" max="15" width="1.140625" style="68" customWidth="1"/>
    <col min="16" max="16" width="22.85546875" customWidth="1"/>
    <col min="17" max="17" width="10.28515625" customWidth="1"/>
    <col min="18" max="18" width="1.140625" style="331" customWidth="1"/>
    <col min="19" max="19" width="24.7109375" customWidth="1"/>
    <col min="20" max="20" width="10.28515625" customWidth="1"/>
    <col min="21" max="21" width="1.140625" style="331" customWidth="1"/>
    <col min="22" max="22" width="25" customWidth="1"/>
    <col min="23" max="23" width="10.28515625" customWidth="1"/>
    <col min="24" max="24" width="1" style="331" customWidth="1"/>
    <col min="25" max="25" width="25.5703125" customWidth="1"/>
    <col min="26" max="26" width="11.85546875" customWidth="1"/>
    <col min="27" max="27" width="1.140625" style="331" customWidth="1"/>
    <col min="28" max="28" width="21.42578125" customWidth="1"/>
    <col min="29" max="29" width="11.7109375" customWidth="1"/>
    <col min="30" max="30" width="1" style="331" customWidth="1"/>
    <col min="31" max="31" width="18.85546875" style="330" customWidth="1"/>
    <col min="32" max="32" width="11.140625" style="330" customWidth="1"/>
    <col min="33" max="33" width="1" style="331" customWidth="1"/>
    <col min="34" max="34" width="21.7109375" customWidth="1"/>
    <col min="35" max="35" width="11.5703125" customWidth="1"/>
    <col min="36" max="36" width="1" style="331" customWidth="1"/>
    <col min="37" max="37" width="20.28515625" customWidth="1"/>
    <col min="38" max="38" width="11.5703125" customWidth="1"/>
    <col min="39" max="39" width="1.140625" style="331" customWidth="1"/>
    <col min="40" max="40" width="20.7109375" customWidth="1"/>
    <col min="41" max="41" width="10.28515625" customWidth="1"/>
    <col min="42" max="42" width="1" style="331" customWidth="1"/>
    <col min="43" max="43" width="11.85546875" customWidth="1"/>
    <col min="44" max="44" width="10.28515625" customWidth="1"/>
    <col min="45" max="45" width="1" style="331" customWidth="1"/>
    <col min="46" max="46" width="10.28515625" customWidth="1"/>
    <col min="47" max="47" width="0.85546875" style="331" customWidth="1"/>
    <col min="48" max="48" width="13.140625" customWidth="1"/>
    <col min="49" max="49" width="8" customWidth="1"/>
    <col min="50" max="50" width="12.5703125" customWidth="1"/>
    <col min="51" max="51" width="10.7109375" customWidth="1"/>
  </cols>
  <sheetData>
    <row r="1" spans="1:53" ht="21" customHeight="1" x14ac:dyDescent="0.3">
      <c r="A1" s="85" t="s">
        <v>117</v>
      </c>
      <c r="AE1" s="35"/>
      <c r="AF1" s="35"/>
    </row>
    <row r="2" spans="1:53" ht="16.5" x14ac:dyDescent="0.3">
      <c r="A2" s="35"/>
      <c r="B2" s="5" t="s">
        <v>82</v>
      </c>
      <c r="C2" s="5"/>
      <c r="D2" s="71"/>
      <c r="E2" s="5" t="s">
        <v>8</v>
      </c>
      <c r="F2" s="5"/>
      <c r="G2" s="5"/>
      <c r="H2" s="5"/>
      <c r="I2" s="71"/>
      <c r="J2" s="5" t="s">
        <v>91</v>
      </c>
      <c r="K2" s="35"/>
      <c r="L2" s="71"/>
      <c r="M2" s="5" t="str">
        <f>'Out-of-pockets Three Judges'!A1</f>
        <v>Out-of-pockets Three Challenge Judges</v>
      </c>
      <c r="N2" s="64" t="s">
        <v>48</v>
      </c>
      <c r="O2" s="71"/>
      <c r="P2" s="5" t="s">
        <v>89</v>
      </c>
      <c r="Q2" s="35"/>
      <c r="R2" s="336"/>
      <c r="S2" s="5" t="s">
        <v>92</v>
      </c>
      <c r="T2" s="35"/>
      <c r="U2" s="336"/>
      <c r="V2" s="5" t="s">
        <v>98</v>
      </c>
      <c r="W2" s="35"/>
      <c r="X2" s="336"/>
      <c r="Y2" s="305" t="s">
        <v>247</v>
      </c>
      <c r="Z2" s="64"/>
      <c r="AA2" s="332"/>
      <c r="AB2" s="5" t="s">
        <v>279</v>
      </c>
      <c r="AC2" s="35" t="s">
        <v>48</v>
      </c>
      <c r="AD2" s="336"/>
      <c r="AE2" s="5" t="s">
        <v>296</v>
      </c>
      <c r="AF2"/>
      <c r="AG2" s="336"/>
      <c r="AH2" s="5" t="s">
        <v>281</v>
      </c>
      <c r="AI2" s="35"/>
      <c r="AJ2" s="336"/>
      <c r="AK2" s="5" t="s">
        <v>288</v>
      </c>
      <c r="AL2" s="35"/>
      <c r="AM2" s="336"/>
      <c r="AN2" s="5" t="s">
        <v>85</v>
      </c>
      <c r="AO2" s="35"/>
      <c r="AP2" s="336"/>
      <c r="AQ2" s="64" t="s">
        <v>78</v>
      </c>
      <c r="AR2" s="35"/>
      <c r="AS2" s="336"/>
      <c r="AT2" s="104" t="s">
        <v>60</v>
      </c>
      <c r="AU2" s="332"/>
      <c r="AV2" s="64" t="s">
        <v>52</v>
      </c>
      <c r="AW2" s="35"/>
      <c r="AX2" s="35"/>
      <c r="AY2" s="104" t="s">
        <v>59</v>
      </c>
      <c r="AZ2" s="35"/>
      <c r="BA2" s="35"/>
    </row>
    <row r="3" spans="1:53" ht="14.25" customHeight="1" x14ac:dyDescent="0.3">
      <c r="A3" s="35"/>
      <c r="B3" s="64" t="s">
        <v>48</v>
      </c>
      <c r="C3" s="73" t="s">
        <v>56</v>
      </c>
      <c r="D3" s="71"/>
      <c r="E3" s="35"/>
      <c r="F3" s="35"/>
      <c r="G3" s="35"/>
      <c r="H3" s="73" t="s">
        <v>56</v>
      </c>
      <c r="I3" s="71"/>
      <c r="J3" s="35"/>
      <c r="K3" s="73" t="s">
        <v>56</v>
      </c>
      <c r="L3" s="71"/>
      <c r="M3" s="73"/>
      <c r="N3" s="73" t="s">
        <v>56</v>
      </c>
      <c r="O3" s="71"/>
      <c r="P3" s="111" t="s">
        <v>90</v>
      </c>
      <c r="Q3" s="73" t="s">
        <v>56</v>
      </c>
      <c r="R3" s="333"/>
      <c r="S3" s="110" t="s">
        <v>93</v>
      </c>
      <c r="T3" s="73" t="s">
        <v>56</v>
      </c>
      <c r="U3" s="333"/>
      <c r="V3" s="73"/>
      <c r="W3" s="73" t="s">
        <v>56</v>
      </c>
      <c r="X3" s="333"/>
      <c r="Y3" s="73"/>
      <c r="Z3" s="73" t="s">
        <v>56</v>
      </c>
      <c r="AA3" s="333"/>
      <c r="AB3" s="110" t="s">
        <v>280</v>
      </c>
      <c r="AC3" s="73" t="s">
        <v>56</v>
      </c>
      <c r="AD3" s="333"/>
      <c r="AE3"/>
      <c r="AF3"/>
      <c r="AG3" s="333"/>
      <c r="AH3" s="110" t="s">
        <v>282</v>
      </c>
      <c r="AI3" s="73" t="s">
        <v>56</v>
      </c>
      <c r="AJ3" s="333"/>
      <c r="AK3" s="110" t="s">
        <v>289</v>
      </c>
      <c r="AL3" s="73"/>
      <c r="AM3" s="333"/>
      <c r="AN3" s="73"/>
      <c r="AO3" s="73" t="s">
        <v>56</v>
      </c>
      <c r="AP3" s="333"/>
      <c r="AQ3" s="73"/>
      <c r="AR3" s="73" t="s">
        <v>56</v>
      </c>
      <c r="AS3" s="336"/>
      <c r="AT3" s="82"/>
      <c r="AU3" s="336"/>
      <c r="AV3" s="74" t="s">
        <v>53</v>
      </c>
      <c r="AW3" s="35" t="s">
        <v>54</v>
      </c>
      <c r="AX3" s="74" t="s">
        <v>7</v>
      </c>
      <c r="AY3" s="82"/>
      <c r="AZ3" s="35"/>
      <c r="BA3" s="35"/>
    </row>
    <row r="4" spans="1:53" ht="29.25" customHeight="1" x14ac:dyDescent="0.3">
      <c r="A4" s="75" t="s">
        <v>3</v>
      </c>
      <c r="B4" s="64" t="str">
        <f>'Student transport,accom,meals'!B6</f>
        <v>Year 9  Mixed Teams' Tri-Sports Challenge</v>
      </c>
      <c r="C4" s="73" t="s">
        <v>7</v>
      </c>
      <c r="D4" s="71"/>
      <c r="E4" s="35" t="s">
        <v>48</v>
      </c>
      <c r="F4" s="35"/>
      <c r="G4" s="35"/>
      <c r="H4" s="73" t="s">
        <v>7</v>
      </c>
      <c r="I4" s="71"/>
      <c r="J4" s="35" t="str">
        <f>E4</f>
        <v xml:space="preserve"> </v>
      </c>
      <c r="K4" s="73" t="s">
        <v>7</v>
      </c>
      <c r="L4" s="71"/>
      <c r="M4" s="73"/>
      <c r="N4" s="73" t="s">
        <v>7</v>
      </c>
      <c r="O4" s="71"/>
      <c r="P4" s="73"/>
      <c r="Q4" s="73" t="s">
        <v>7</v>
      </c>
      <c r="R4" s="333"/>
      <c r="S4" s="73"/>
      <c r="T4" s="73" t="s">
        <v>7</v>
      </c>
      <c r="U4" s="333"/>
      <c r="V4" s="73"/>
      <c r="W4" s="73" t="s">
        <v>7</v>
      </c>
      <c r="X4" s="333"/>
      <c r="Y4" s="73"/>
      <c r="Z4" s="73" t="s">
        <v>7</v>
      </c>
      <c r="AA4" s="333"/>
      <c r="AB4" s="73"/>
      <c r="AC4" s="73" t="s">
        <v>7</v>
      </c>
      <c r="AD4" s="333"/>
      <c r="AE4"/>
      <c r="AF4"/>
      <c r="AG4" s="333"/>
      <c r="AH4" s="73"/>
      <c r="AI4" s="73" t="s">
        <v>7</v>
      </c>
      <c r="AJ4" s="333"/>
      <c r="AK4" s="73"/>
      <c r="AL4" s="73"/>
      <c r="AM4" s="333"/>
      <c r="AN4" s="73"/>
      <c r="AO4" s="73" t="s">
        <v>7</v>
      </c>
      <c r="AP4" s="333"/>
      <c r="AQ4" s="73"/>
      <c r="AR4" s="73" t="s">
        <v>7</v>
      </c>
      <c r="AS4" s="336"/>
      <c r="AT4" s="82"/>
      <c r="AU4" s="336"/>
      <c r="AV4" s="76" t="s">
        <v>57</v>
      </c>
      <c r="AW4" s="35"/>
      <c r="AX4" s="76" t="s">
        <v>55</v>
      </c>
      <c r="AY4" s="82"/>
      <c r="AZ4" s="35"/>
      <c r="BA4" s="35"/>
    </row>
    <row r="5" spans="1:53" ht="16.5" x14ac:dyDescent="0.3">
      <c r="A5" s="76"/>
      <c r="B5" s="35" t="str">
        <f>'Student transport,accom,meals'!B7</f>
        <v>120 x ($550 ave. transport + (8 x $90 accom + meals)</v>
      </c>
      <c r="C5" s="64" t="s">
        <v>48</v>
      </c>
      <c r="D5" s="71"/>
      <c r="E5" s="35" t="s">
        <v>49</v>
      </c>
      <c r="F5" s="35"/>
      <c r="G5" s="35"/>
      <c r="I5" s="71"/>
      <c r="J5" t="str">
        <f>E5</f>
        <v>See worksheet:</v>
      </c>
      <c r="K5" s="35"/>
      <c r="L5" s="71"/>
      <c r="M5" t="str">
        <f>J5</f>
        <v>See worksheet:</v>
      </c>
      <c r="N5" s="35"/>
      <c r="O5" s="71"/>
      <c r="P5" t="str">
        <f>M5</f>
        <v>See worksheet:</v>
      </c>
      <c r="S5" s="65" t="str">
        <f>P5</f>
        <v>See worksheet:</v>
      </c>
      <c r="V5" s="65" t="str">
        <f>S5</f>
        <v>See worksheet:</v>
      </c>
      <c r="Y5" s="65" t="str">
        <f>V5</f>
        <v>See worksheet:</v>
      </c>
      <c r="AB5" s="65" t="str">
        <f>Y5</f>
        <v>See worksheet:</v>
      </c>
      <c r="AE5"/>
      <c r="AF5"/>
      <c r="AH5" s="65" t="str">
        <f>AB5</f>
        <v>See worksheet:</v>
      </c>
      <c r="AN5" s="65" t="str">
        <f>S5</f>
        <v>See worksheet:</v>
      </c>
      <c r="AS5" s="336"/>
      <c r="AT5" s="82"/>
      <c r="AU5" s="336"/>
      <c r="AV5" s="35"/>
      <c r="AW5" s="35"/>
      <c r="AX5" s="35"/>
      <c r="AY5" s="82"/>
      <c r="AZ5" s="35"/>
      <c r="BA5" s="35"/>
    </row>
    <row r="6" spans="1:53" ht="16.5" x14ac:dyDescent="0.3">
      <c r="A6" s="76"/>
      <c r="B6" s="64" t="s">
        <v>48</v>
      </c>
      <c r="C6" s="79">
        <f>'Student transport,accom,meals'!D8</f>
        <v>152400</v>
      </c>
      <c r="D6" s="71"/>
      <c r="E6" s="77" t="s">
        <v>50</v>
      </c>
      <c r="F6" s="35"/>
      <c r="G6" s="35"/>
      <c r="H6" s="126">
        <f>'3Challenge,equip,cloth,computer'!P19</f>
        <v>79310</v>
      </c>
      <c r="I6" s="71"/>
      <c r="J6" s="77" t="s">
        <v>51</v>
      </c>
      <c r="K6" s="79">
        <f>'Mentor flights,accom,meals'!L4</f>
        <v>103500</v>
      </c>
      <c r="L6" s="71"/>
      <c r="M6" s="69" t="s">
        <v>74</v>
      </c>
      <c r="N6" s="79">
        <f>'Out-of-pockets Three Judges'!H5+'Out-of-pockets Three Judges'!H6</f>
        <v>10500</v>
      </c>
      <c r="O6" s="71"/>
      <c r="P6" s="69" t="s">
        <v>89</v>
      </c>
      <c r="Q6" s="1">
        <f>'Out-of-pockets 20 WOOs'!G4</f>
        <v>4000</v>
      </c>
      <c r="R6" s="334"/>
      <c r="S6" s="69" t="s">
        <v>291</v>
      </c>
      <c r="T6" s="1">
        <f>'O-o-P_6_RegionlTeamsCo-ord'!W6</f>
        <v>22640</v>
      </c>
      <c r="U6" s="334"/>
      <c r="V6" s="258" t="s">
        <v>98</v>
      </c>
      <c r="W6" s="1">
        <f>'Out-of-pockets_Local_Connectors'!O4</f>
        <v>18700</v>
      </c>
      <c r="X6" s="334"/>
      <c r="Y6" s="337" t="s">
        <v>292</v>
      </c>
      <c r="Z6" s="1">
        <f>'10_LocalConnectorLabourCost'!M4</f>
        <v>147000</v>
      </c>
      <c r="AA6" s="334"/>
      <c r="AB6" s="258" t="s">
        <v>279</v>
      </c>
      <c r="AC6" s="1">
        <f>'1stYearYoungCorpSponSportEmploy'!L11</f>
        <v>12700</v>
      </c>
      <c r="AD6" s="334"/>
      <c r="AE6" t="s">
        <v>297</v>
      </c>
      <c r="AF6" s="340">
        <f>Local_Connector_cameras!F6</f>
        <v>6000</v>
      </c>
      <c r="AG6" s="334"/>
      <c r="AH6" s="1"/>
      <c r="AI6" s="1"/>
      <c r="AJ6" s="334"/>
      <c r="AK6" s="1"/>
      <c r="AL6" s="1"/>
      <c r="AM6" s="334"/>
      <c r="AN6" s="3" t="s">
        <v>85</v>
      </c>
      <c r="AO6" s="1">
        <f>'Website Development'!B4</f>
        <v>12000</v>
      </c>
      <c r="AP6" s="334"/>
      <c r="AQ6" s="338" t="s">
        <v>78</v>
      </c>
      <c r="AR6" s="1">
        <f>AV6/AW6*2</f>
        <v>10000</v>
      </c>
      <c r="AS6" s="336"/>
      <c r="AT6" s="83">
        <f>C6+H6+K6+N6+Q6+T6+W6+Z6+AC6+AF6+AO6+AR6</f>
        <v>578750</v>
      </c>
      <c r="AU6" s="336"/>
      <c r="AV6" s="78">
        <v>50000</v>
      </c>
      <c r="AW6" s="35">
        <v>10</v>
      </c>
      <c r="AX6" s="78">
        <f>AV6*AW6</f>
        <v>500000</v>
      </c>
      <c r="AY6" s="82"/>
      <c r="AZ6" s="35"/>
      <c r="BA6" s="35"/>
    </row>
    <row r="7" spans="1:53" ht="16.5" x14ac:dyDescent="0.3">
      <c r="A7" s="76"/>
      <c r="B7" s="64" t="s">
        <v>48</v>
      </c>
      <c r="C7" s="79" t="s">
        <v>48</v>
      </c>
      <c r="D7" s="71"/>
      <c r="E7" s="35"/>
      <c r="F7" s="35"/>
      <c r="G7" s="35"/>
      <c r="H7" s="35"/>
      <c r="I7" s="71"/>
      <c r="J7" s="35"/>
      <c r="K7" s="79"/>
      <c r="L7" s="71"/>
      <c r="M7" s="79"/>
      <c r="N7" s="79"/>
      <c r="O7" s="71"/>
      <c r="P7" s="79"/>
      <c r="AB7" s="3" t="s">
        <v>280</v>
      </c>
      <c r="AE7"/>
      <c r="AF7"/>
      <c r="AS7" s="336"/>
      <c r="AT7" s="321">
        <f>C6+H6+K6+N6+Q6+T6+W6+Z6+AC6+AF6+AO6+AR6</f>
        <v>578750</v>
      </c>
      <c r="AU7" s="336"/>
      <c r="AV7" s="35"/>
      <c r="AW7" s="35"/>
      <c r="AX7" s="35"/>
      <c r="AY7" s="82"/>
      <c r="AZ7" s="35"/>
      <c r="BA7" s="35"/>
    </row>
    <row r="8" spans="1:53" ht="16.5" x14ac:dyDescent="0.3">
      <c r="A8" s="80"/>
      <c r="B8" s="72" t="s">
        <v>48</v>
      </c>
      <c r="C8" s="81" t="s">
        <v>48</v>
      </c>
      <c r="D8" s="71"/>
      <c r="E8" s="71"/>
      <c r="F8" s="71"/>
      <c r="G8" s="71"/>
      <c r="H8" s="71"/>
      <c r="I8" s="71"/>
      <c r="J8" s="71"/>
      <c r="K8" s="79"/>
      <c r="L8" s="71"/>
      <c r="M8" s="79"/>
      <c r="N8" s="79"/>
      <c r="O8" s="71"/>
      <c r="P8" s="79"/>
      <c r="AE8"/>
      <c r="AF8"/>
      <c r="AS8" s="336"/>
      <c r="AT8" s="82"/>
      <c r="AU8" s="336"/>
      <c r="AV8" s="35"/>
      <c r="AW8" s="35"/>
      <c r="AX8" s="35"/>
      <c r="AY8" s="82"/>
      <c r="AZ8" s="35"/>
      <c r="BA8" s="35"/>
    </row>
    <row r="9" spans="1:53" ht="25.5" customHeight="1" x14ac:dyDescent="0.3">
      <c r="A9" s="75" t="s">
        <v>4</v>
      </c>
      <c r="B9" s="64"/>
      <c r="C9" s="79" t="s">
        <v>48</v>
      </c>
      <c r="D9" s="71"/>
      <c r="E9" s="35"/>
      <c r="F9" s="35"/>
      <c r="G9" s="35"/>
      <c r="H9" s="35"/>
      <c r="I9" s="71"/>
      <c r="J9" s="35"/>
      <c r="K9" s="79"/>
      <c r="L9" s="71"/>
      <c r="M9" s="79"/>
      <c r="N9" s="79"/>
      <c r="O9" s="71"/>
      <c r="P9" s="79"/>
      <c r="AE9"/>
      <c r="AF9"/>
      <c r="AS9" s="336"/>
      <c r="AT9" s="82"/>
      <c r="AU9" s="336"/>
      <c r="AV9" s="35"/>
      <c r="AW9" s="35"/>
      <c r="AX9" s="35"/>
      <c r="AY9" s="82"/>
      <c r="AZ9" s="35"/>
      <c r="BA9" s="35"/>
    </row>
    <row r="10" spans="1:53" ht="16.5" x14ac:dyDescent="0.3">
      <c r="A10" s="76"/>
      <c r="B10" s="64" t="str">
        <f>'Student transport,accom,meals'!B17</f>
        <v>Year 10  Mixed Teams' Public Speaking Challenge</v>
      </c>
      <c r="C10" s="79" t="s">
        <v>48</v>
      </c>
      <c r="D10" s="71"/>
      <c r="E10" s="35"/>
      <c r="F10" s="35"/>
      <c r="G10" s="35"/>
      <c r="H10" s="35"/>
      <c r="I10" s="71"/>
      <c r="J10" s="35"/>
      <c r="K10" s="79"/>
      <c r="L10" s="71"/>
      <c r="M10" s="79"/>
      <c r="N10" s="79"/>
      <c r="O10" s="71"/>
      <c r="P10" s="79"/>
      <c r="AE10"/>
      <c r="AF10"/>
      <c r="AS10" s="336"/>
      <c r="AT10" s="82"/>
      <c r="AU10" s="336"/>
      <c r="AV10" s="35"/>
      <c r="AW10" s="35"/>
      <c r="AX10" s="35"/>
      <c r="AY10" s="82"/>
      <c r="AZ10" s="35"/>
      <c r="BA10" s="35"/>
    </row>
    <row r="11" spans="1:53" ht="16.5" x14ac:dyDescent="0.3">
      <c r="A11" s="76"/>
      <c r="B11" s="35" t="str">
        <f>'Student transport,accom,meals'!B18</f>
        <v>120 x ($550 ave. transport + (7 x $90 accomm + meals)</v>
      </c>
      <c r="C11" s="79">
        <f>'Student transport,accom,meals'!D19</f>
        <v>141600</v>
      </c>
      <c r="D11" s="71"/>
      <c r="E11" s="77" t="s">
        <v>50</v>
      </c>
      <c r="F11" s="35"/>
      <c r="G11" s="35"/>
      <c r="H11" s="126">
        <f>'3Challenge,equip,cloth,computer'!O27</f>
        <v>39962</v>
      </c>
      <c r="I11" s="71"/>
      <c r="J11" s="77" t="s">
        <v>51</v>
      </c>
      <c r="K11" s="79">
        <f>'Mentor flights,accom,meals'!L6+'Mentor flights,accom,meals'!L11</f>
        <v>69000</v>
      </c>
      <c r="L11" s="71"/>
      <c r="M11" s="69" t="s">
        <v>74</v>
      </c>
      <c r="N11" s="79">
        <f>'Out-of-pockets Three Judges'!H7+'Out-of-pockets Three Judges'!H8</f>
        <v>9600</v>
      </c>
      <c r="O11" s="71"/>
      <c r="P11" s="69" t="s">
        <v>79</v>
      </c>
      <c r="Q11" s="1">
        <f>'Out-of-pockets 20 WOOs'!G5</f>
        <v>4000</v>
      </c>
      <c r="R11" s="334"/>
      <c r="S11" s="69" t="s">
        <v>291</v>
      </c>
      <c r="T11" s="1">
        <f>'O-o-P_6_RegionlTeamsCo-ord'!W8</f>
        <v>1848</v>
      </c>
      <c r="U11" s="334"/>
      <c r="V11" s="258" t="s">
        <v>98</v>
      </c>
      <c r="W11" s="1">
        <f>'Out-of-pockets_Local_Connectors'!O5</f>
        <v>17800</v>
      </c>
      <c r="X11" s="334"/>
      <c r="Y11" s="337" t="s">
        <v>292</v>
      </c>
      <c r="Z11" s="1">
        <f>'10_LocalConnectorLabourCost'!M5</f>
        <v>73500</v>
      </c>
      <c r="AA11" s="334"/>
      <c r="AB11" s="1"/>
      <c r="AC11" s="1"/>
      <c r="AD11" s="334"/>
      <c r="AE11"/>
      <c r="AF11"/>
      <c r="AG11" s="334"/>
      <c r="AH11" s="3" t="s">
        <v>281</v>
      </c>
      <c r="AI11" s="1">
        <f>'2nd&amp;3rdYear_RegTeamCo-Ord'!M9</f>
        <v>7080</v>
      </c>
      <c r="AJ11" s="334"/>
      <c r="AK11" s="1"/>
      <c r="AL11" s="1"/>
      <c r="AM11" s="334"/>
      <c r="AN11" s="3" t="s">
        <v>85</v>
      </c>
      <c r="AO11" s="1">
        <f>'Website Development'!B6</f>
        <v>8400</v>
      </c>
      <c r="AP11" s="334"/>
      <c r="AQ11" s="338" t="s">
        <v>78</v>
      </c>
      <c r="AR11" s="1">
        <f>AV11/AW11*2</f>
        <v>10000</v>
      </c>
      <c r="AS11" s="336"/>
      <c r="AT11" s="83">
        <f>C11+H11+K11+N11+Q11+T11+W11+Z11+AI11+AO11+AR11</f>
        <v>382790</v>
      </c>
      <c r="AU11" s="336"/>
      <c r="AV11" s="78">
        <f>AV6</f>
        <v>50000</v>
      </c>
      <c r="AW11" s="35">
        <f>AW6</f>
        <v>10</v>
      </c>
      <c r="AX11" s="78">
        <f>AX6</f>
        <v>500000</v>
      </c>
      <c r="AY11" s="82"/>
      <c r="AZ11" s="35"/>
      <c r="BA11" s="35"/>
    </row>
    <row r="12" spans="1:53" ht="16.5" x14ac:dyDescent="0.3">
      <c r="A12" s="76"/>
      <c r="B12" s="64" t="s">
        <v>48</v>
      </c>
      <c r="C12" s="79" t="s">
        <v>48</v>
      </c>
      <c r="D12" s="71"/>
      <c r="E12" s="35"/>
      <c r="F12" s="35"/>
      <c r="G12" s="35"/>
      <c r="H12" s="35"/>
      <c r="I12" s="71"/>
      <c r="J12" s="35"/>
      <c r="K12" s="79"/>
      <c r="L12" s="71"/>
      <c r="M12" s="79"/>
      <c r="N12" s="79"/>
      <c r="O12" s="71"/>
      <c r="P12" s="79"/>
      <c r="AE12"/>
      <c r="AF12"/>
      <c r="AH12" s="3" t="s">
        <v>282</v>
      </c>
      <c r="AS12" s="336"/>
      <c r="AT12" s="321">
        <f>C11+H11+K11+N11+Q11+T11+W11+Z11+AI11+AO11+AR11</f>
        <v>382790</v>
      </c>
      <c r="AU12" s="336"/>
      <c r="AV12" s="35"/>
      <c r="AW12" s="35"/>
      <c r="AX12" s="35"/>
      <c r="AY12" s="82"/>
      <c r="AZ12" s="35"/>
      <c r="BA12" s="35"/>
    </row>
    <row r="13" spans="1:53" ht="16.5" x14ac:dyDescent="0.3">
      <c r="A13" s="80"/>
      <c r="B13" s="72" t="s">
        <v>48</v>
      </c>
      <c r="C13" s="81" t="s">
        <v>48</v>
      </c>
      <c r="D13" s="71"/>
      <c r="E13" s="71"/>
      <c r="F13" s="71"/>
      <c r="G13" s="71"/>
      <c r="H13" s="71"/>
      <c r="I13" s="71"/>
      <c r="J13" s="71"/>
      <c r="K13" s="79"/>
      <c r="L13" s="71"/>
      <c r="M13" s="79"/>
      <c r="N13" s="79"/>
      <c r="O13" s="71"/>
      <c r="P13" s="79"/>
      <c r="AE13"/>
      <c r="AF13"/>
      <c r="AS13" s="336"/>
      <c r="AT13" s="82"/>
      <c r="AU13" s="336"/>
      <c r="AV13" s="35"/>
      <c r="AW13" s="35"/>
      <c r="AX13" s="35"/>
      <c r="AY13" s="82"/>
      <c r="AZ13" s="35"/>
      <c r="BA13" s="35"/>
    </row>
    <row r="14" spans="1:53" ht="33" x14ac:dyDescent="0.3">
      <c r="A14" s="75" t="s">
        <v>5</v>
      </c>
      <c r="C14" s="79" t="s">
        <v>48</v>
      </c>
      <c r="D14" s="71"/>
      <c r="E14" s="35"/>
      <c r="F14" s="35"/>
      <c r="G14" s="35"/>
      <c r="H14" s="35"/>
      <c r="I14" s="71"/>
      <c r="J14" s="35"/>
      <c r="K14" s="79"/>
      <c r="L14" s="71"/>
      <c r="M14" s="79"/>
      <c r="N14" s="79"/>
      <c r="O14" s="71"/>
      <c r="P14" s="79"/>
      <c r="AE14"/>
      <c r="AF14"/>
      <c r="AS14" s="336"/>
      <c r="AT14" s="82"/>
      <c r="AU14" s="336"/>
      <c r="AV14" s="35"/>
      <c r="AW14" s="35"/>
      <c r="AX14" s="35"/>
      <c r="AY14" s="82"/>
      <c r="AZ14" s="35"/>
      <c r="BA14" s="35"/>
    </row>
    <row r="15" spans="1:53" ht="16.5" x14ac:dyDescent="0.3">
      <c r="A15" s="35"/>
      <c r="B15" s="64" t="str">
        <f>'Student transport,accom,meals'!B28</f>
        <v>Year 11  Teams' Mixed I.T. Geek Challenge</v>
      </c>
      <c r="C15" s="79" t="s">
        <v>48</v>
      </c>
      <c r="D15" s="71"/>
      <c r="E15" s="35"/>
      <c r="F15" s="35"/>
      <c r="G15" s="35"/>
      <c r="H15" s="35"/>
      <c r="I15" s="71"/>
      <c r="J15" s="35"/>
      <c r="K15" s="79"/>
      <c r="L15" s="71"/>
      <c r="M15" s="79"/>
      <c r="N15" s="79"/>
      <c r="O15" s="71"/>
      <c r="P15" s="79"/>
      <c r="AE15"/>
      <c r="AF15"/>
      <c r="AK15" s="3" t="s">
        <v>288</v>
      </c>
      <c r="AS15" s="336"/>
      <c r="AT15" s="82"/>
      <c r="AU15" s="336"/>
      <c r="AV15" s="35"/>
      <c r="AW15" s="35"/>
      <c r="AX15" s="35"/>
      <c r="AY15" s="82"/>
      <c r="AZ15" s="35"/>
      <c r="BA15" s="35"/>
    </row>
    <row r="16" spans="1:53" ht="16.5" x14ac:dyDescent="0.3">
      <c r="A16" s="35"/>
      <c r="B16" s="35" t="str">
        <f>'Student transport,accom,meals'!B29</f>
        <v>120 x ($700 ave. transport + (6 x $100 accomm + meals)</v>
      </c>
      <c r="C16" s="79">
        <f>'Student transport,accom,meals'!D30</f>
        <v>156000</v>
      </c>
      <c r="D16" s="71"/>
      <c r="E16" s="77" t="s">
        <v>50</v>
      </c>
      <c r="F16" s="35"/>
      <c r="G16" s="35"/>
      <c r="H16" s="126">
        <f>'3Challenge,equip,cloth,computer'!O33</f>
        <v>129780</v>
      </c>
      <c r="I16" s="71"/>
      <c r="J16" s="77" t="s">
        <v>51</v>
      </c>
      <c r="K16" s="79">
        <f>'Mentor flights,accom,meals'!L8</f>
        <v>34500</v>
      </c>
      <c r="L16" s="71"/>
      <c r="M16" s="69" t="s">
        <v>74</v>
      </c>
      <c r="N16" s="79">
        <f>'Out-of-pockets Three Judges'!H9</f>
        <v>4350</v>
      </c>
      <c r="O16" s="71"/>
      <c r="P16" s="69" t="s">
        <v>79</v>
      </c>
      <c r="Q16" s="1">
        <f>'Out-of-pockets 20 WOOs'!G6</f>
        <v>4000</v>
      </c>
      <c r="R16" s="334"/>
      <c r="S16" s="69" t="s">
        <v>291</v>
      </c>
      <c r="T16" s="1">
        <f>'O-o-P_6_RegionlTeamsCo-ord'!W10</f>
        <v>1663.1999999999998</v>
      </c>
      <c r="U16" s="334"/>
      <c r="V16" s="258" t="s">
        <v>98</v>
      </c>
      <c r="W16" s="1">
        <f>'Out-of-pockets_Local_Connectors'!O6</f>
        <v>18400</v>
      </c>
      <c r="X16" s="334"/>
      <c r="Y16" s="1"/>
      <c r="Z16" s="1">
        <f>'10_LocalConnectorLabourCost'!M6</f>
        <v>73500</v>
      </c>
      <c r="AA16" s="334"/>
      <c r="AB16" s="1"/>
      <c r="AC16" s="1"/>
      <c r="AD16" s="334"/>
      <c r="AE16"/>
      <c r="AF16"/>
      <c r="AG16" s="334"/>
      <c r="AH16" s="1"/>
      <c r="AI16" s="1">
        <f>'2nd&amp;3rdYear_RegTeamCo-Ord'!M10</f>
        <v>7440</v>
      </c>
      <c r="AJ16" s="334"/>
      <c r="AK16" s="3" t="s">
        <v>289</v>
      </c>
      <c r="AL16" s="1">
        <f>'20 Work Experience flight costs'!E4</f>
        <v>11000</v>
      </c>
      <c r="AM16" s="334"/>
      <c r="AN16" s="3" t="s">
        <v>85</v>
      </c>
      <c r="AO16" s="1">
        <f>'Website Development'!B8</f>
        <v>5040</v>
      </c>
      <c r="AP16" s="334"/>
      <c r="AQ16" s="338" t="s">
        <v>78</v>
      </c>
      <c r="AR16" s="1">
        <f>AV16/AW16*2</f>
        <v>10000</v>
      </c>
      <c r="AS16" s="336"/>
      <c r="AT16" s="83">
        <f>C16+H16+K16+N16+Q16+T16+W16+Z16+AI16+AL16+AO16+AR16</f>
        <v>455673.2</v>
      </c>
      <c r="AU16" s="336"/>
      <c r="AV16" s="78">
        <f>AV6</f>
        <v>50000</v>
      </c>
      <c r="AW16" s="35">
        <f>AW6</f>
        <v>10</v>
      </c>
      <c r="AX16" s="78">
        <f>AX6</f>
        <v>500000</v>
      </c>
      <c r="AY16" s="82"/>
      <c r="AZ16" s="35"/>
      <c r="BA16" s="35"/>
    </row>
    <row r="17" spans="1:53" ht="16.5" x14ac:dyDescent="0.3">
      <c r="A17" s="35"/>
      <c r="B17" s="64"/>
      <c r="C17" s="79"/>
      <c r="D17" s="71"/>
      <c r="E17" s="35"/>
      <c r="F17" s="35"/>
      <c r="G17" s="35"/>
      <c r="H17" s="126"/>
      <c r="I17" s="71"/>
      <c r="J17" s="35"/>
      <c r="K17" s="79"/>
      <c r="L17" s="71"/>
      <c r="M17" s="79"/>
      <c r="N17" s="79"/>
      <c r="O17" s="71"/>
      <c r="P17" s="79"/>
      <c r="Q17" s="1"/>
      <c r="R17" s="334"/>
      <c r="S17" s="1"/>
      <c r="T17" s="1"/>
      <c r="U17" s="334"/>
      <c r="V17" s="1"/>
      <c r="W17" s="1"/>
      <c r="X17" s="334"/>
      <c r="Y17" s="1"/>
      <c r="Z17" s="1"/>
      <c r="AA17" s="334"/>
      <c r="AB17" s="1"/>
      <c r="AC17" s="1"/>
      <c r="AD17" s="334"/>
      <c r="AE17"/>
      <c r="AF17" s="35"/>
      <c r="AG17" s="334"/>
      <c r="AH17" s="1"/>
      <c r="AI17" s="1"/>
      <c r="AJ17" s="334"/>
      <c r="AK17" s="1"/>
      <c r="AL17" s="1"/>
      <c r="AM17" s="334"/>
      <c r="AN17" s="1"/>
      <c r="AO17" s="1"/>
      <c r="AP17" s="334"/>
      <c r="AQ17" s="1"/>
      <c r="AR17" s="1"/>
      <c r="AS17" s="336"/>
      <c r="AT17" s="321">
        <f>C16+H16+K16+N16+Q16+T16+W16+Z16+AI16+AL16+AO16+AR16</f>
        <v>455673.2</v>
      </c>
      <c r="AU17" s="336"/>
      <c r="AV17" s="78"/>
      <c r="AW17" s="35"/>
      <c r="AX17" s="78"/>
      <c r="AY17" s="82"/>
      <c r="AZ17" s="35"/>
      <c r="BA17" s="35"/>
    </row>
    <row r="18" spans="1:53" ht="16.5" x14ac:dyDescent="0.3">
      <c r="A18" s="35"/>
      <c r="B18" s="64" t="s">
        <v>48</v>
      </c>
      <c r="C18" s="319">
        <f>SUM(C6:C16)</f>
        <v>450000</v>
      </c>
      <c r="D18" s="71"/>
      <c r="E18" s="35"/>
      <c r="F18" s="35"/>
      <c r="G18" s="35"/>
      <c r="H18" s="319">
        <f>SUM(H6:H16)</f>
        <v>249052</v>
      </c>
      <c r="I18" s="71"/>
      <c r="J18" s="35" t="s">
        <v>48</v>
      </c>
      <c r="K18" s="319">
        <f>SUM(K6:K16)</f>
        <v>207000</v>
      </c>
      <c r="L18" s="71"/>
      <c r="M18" s="35"/>
      <c r="N18" s="319">
        <f>SUM(N6:N16)</f>
        <v>24450</v>
      </c>
      <c r="O18" s="71"/>
      <c r="P18" s="35"/>
      <c r="Q18" s="319">
        <f>SUM(Q6:Q16)</f>
        <v>12000</v>
      </c>
      <c r="R18" s="335"/>
      <c r="T18" s="319">
        <f>SUM(T6:T16)</f>
        <v>26151.200000000001</v>
      </c>
      <c r="U18" s="335"/>
      <c r="W18" s="319">
        <f>SUM(W6:W16)</f>
        <v>54900</v>
      </c>
      <c r="X18" s="335"/>
      <c r="Z18" s="319">
        <f>SUM(Z6:Z16)</f>
        <v>294000</v>
      </c>
      <c r="AA18" s="335"/>
      <c r="AC18" s="319">
        <f>SUM(AC6:AC16)</f>
        <v>12700</v>
      </c>
      <c r="AD18" s="335"/>
      <c r="AE18" s="35"/>
      <c r="AF18" s="319">
        <f>SUM(AF6:AF16)</f>
        <v>6000</v>
      </c>
      <c r="AG18" s="335"/>
      <c r="AI18" s="319">
        <f>SUM(AI6:AI16)</f>
        <v>14520</v>
      </c>
      <c r="AJ18" s="335"/>
      <c r="AK18" s="319"/>
      <c r="AL18" s="319">
        <f>SUM(AL6:AL16)</f>
        <v>11000</v>
      </c>
      <c r="AM18" s="335"/>
      <c r="AO18" s="319">
        <f>SUM(AO6:AO16)</f>
        <v>25440</v>
      </c>
      <c r="AP18" s="335"/>
      <c r="AR18" s="319">
        <f>SUM(AR6:AR16)</f>
        <v>30000</v>
      </c>
      <c r="AS18" s="336"/>
      <c r="AT18" s="103">
        <f>AT6+AT11+AT16</f>
        <v>1417213.2</v>
      </c>
      <c r="AU18" s="336"/>
      <c r="AV18" s="35"/>
      <c r="AW18" s="35"/>
      <c r="AX18" s="35"/>
      <c r="AY18" s="82"/>
      <c r="AZ18" s="35"/>
      <c r="BA18" s="35"/>
    </row>
    <row r="19" spans="1:53" ht="16.5" x14ac:dyDescent="0.3">
      <c r="A19" s="35"/>
      <c r="B19" s="64" t="s">
        <v>58</v>
      </c>
      <c r="C19" s="79">
        <f>'Student transport,accom,meals'!E37</f>
        <v>450000</v>
      </c>
      <c r="D19" s="71"/>
      <c r="E19" s="64" t="s">
        <v>58</v>
      </c>
      <c r="F19" s="35"/>
      <c r="G19" s="35"/>
      <c r="H19" s="125">
        <f>'3Challenge,equip,cloth,computer'!M36</f>
        <v>249052</v>
      </c>
      <c r="I19" s="71"/>
      <c r="J19" s="64" t="str">
        <f>E19</f>
        <v>Grand total</v>
      </c>
      <c r="K19" s="79">
        <f>'Mentor flights,accom,meals'!M11</f>
        <v>207000</v>
      </c>
      <c r="L19" s="71"/>
      <c r="M19" s="79"/>
      <c r="N19" s="79">
        <f>'Out-of-pockets Three Judges'!H10</f>
        <v>24450</v>
      </c>
      <c r="O19" s="71"/>
      <c r="P19" s="79"/>
      <c r="Q19" s="1">
        <f>'Out-of-pockets 20 WOOs'!G7</f>
        <v>12000</v>
      </c>
      <c r="R19" s="334"/>
      <c r="S19" s="1"/>
      <c r="T19" s="1">
        <f>'O-o-P_6_RegionlTeamsCo-ord'!W13</f>
        <v>26151.200000000001</v>
      </c>
      <c r="U19" s="334"/>
      <c r="V19" s="1"/>
      <c r="W19" s="1">
        <f>'Out-of-pockets_Local_Connectors'!O7</f>
        <v>54900</v>
      </c>
      <c r="X19" s="334"/>
      <c r="Y19" s="1"/>
      <c r="Z19" s="1">
        <f>'10_LocalConnectorLabourCost'!M8</f>
        <v>294000</v>
      </c>
      <c r="AA19" s="334"/>
      <c r="AB19" s="1"/>
      <c r="AC19" s="1">
        <f>'1stYearYoungCorpSponSportEmploy'!L11</f>
        <v>12700</v>
      </c>
      <c r="AD19" s="334"/>
      <c r="AE19"/>
      <c r="AF19" s="340">
        <f>Local_Connector_cameras!F6</f>
        <v>6000</v>
      </c>
      <c r="AG19" s="334"/>
      <c r="AH19" s="1"/>
      <c r="AI19" s="1">
        <f>'2nd&amp;3rdYear_RegTeamCo-Ord'!M11</f>
        <v>14520</v>
      </c>
      <c r="AJ19" s="334"/>
      <c r="AK19" s="1"/>
      <c r="AL19" s="1">
        <f>'20 Work Experience flight costs'!E4</f>
        <v>11000</v>
      </c>
      <c r="AM19" s="334"/>
      <c r="AN19" s="1"/>
      <c r="AO19" s="1">
        <f>'Website Development'!B10</f>
        <v>25440</v>
      </c>
      <c r="AP19" s="334"/>
      <c r="AQ19" s="1"/>
      <c r="AR19" s="1">
        <f>AR6+AR11+AR16</f>
        <v>30000</v>
      </c>
      <c r="AS19" s="336"/>
      <c r="AT19" s="83">
        <f>C19+H19+K19+N19+Q19+T19+W19+Z19+AC19+AF19+AI19+AL19+AO19+AR19</f>
        <v>1417213.2</v>
      </c>
      <c r="AU19" s="339"/>
      <c r="AV19" s="79"/>
      <c r="AW19" s="35"/>
      <c r="AY19" s="84">
        <f>AX6+AX11+AX16</f>
        <v>1500000</v>
      </c>
      <c r="AZ19" s="35"/>
      <c r="BA19" s="329">
        <f>AT19/AY19</f>
        <v>0.9448088</v>
      </c>
    </row>
    <row r="20" spans="1:53" ht="16.5" x14ac:dyDescent="0.3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336"/>
      <c r="S20" s="71"/>
      <c r="T20" s="71"/>
      <c r="U20" s="336"/>
      <c r="V20" s="71"/>
      <c r="W20" s="71"/>
      <c r="X20" s="336"/>
      <c r="Y20" s="71"/>
      <c r="Z20" s="71"/>
      <c r="AA20" s="336"/>
      <c r="AB20" s="71"/>
      <c r="AC20" s="71"/>
      <c r="AD20" s="336"/>
      <c r="AE20" s="71"/>
      <c r="AF20" s="71"/>
      <c r="AG20" s="336"/>
      <c r="AH20" s="71"/>
      <c r="AI20" s="71"/>
      <c r="AJ20" s="336"/>
      <c r="AK20" s="71"/>
      <c r="AL20" s="71"/>
      <c r="AM20" s="336"/>
      <c r="AN20" s="71"/>
      <c r="AO20" s="71"/>
      <c r="AP20" s="336"/>
      <c r="AQ20" s="71"/>
      <c r="AR20" s="71"/>
      <c r="AS20" s="336"/>
      <c r="AT20" s="71"/>
      <c r="AU20" s="336"/>
      <c r="AV20" s="71"/>
      <c r="AW20" s="71"/>
      <c r="AX20" s="71"/>
      <c r="AY20" s="71"/>
      <c r="AZ20" s="35"/>
      <c r="BA20" s="35"/>
    </row>
    <row r="21" spans="1:53" ht="16.5" x14ac:dyDescent="0.3">
      <c r="A21" s="35"/>
      <c r="B21" s="35"/>
      <c r="C21" s="35"/>
      <c r="D21" s="71"/>
      <c r="E21" s="35"/>
      <c r="F21" s="35"/>
      <c r="G21" s="35"/>
      <c r="H21" s="78" t="s">
        <v>48</v>
      </c>
      <c r="I21" s="71"/>
      <c r="J21" s="35"/>
      <c r="K21" s="35"/>
      <c r="L21" s="71"/>
      <c r="M21" s="35"/>
      <c r="N21" s="35"/>
      <c r="O21" s="71"/>
      <c r="P21" s="35"/>
      <c r="Q21" s="35"/>
      <c r="R21" s="336"/>
      <c r="S21" s="35"/>
      <c r="T21" s="35"/>
      <c r="U21" s="336"/>
      <c r="V21" s="35"/>
      <c r="W21" s="35"/>
      <c r="X21" s="336"/>
      <c r="Y21" s="35"/>
      <c r="Z21" s="35"/>
      <c r="AA21" s="336"/>
      <c r="AB21" s="35"/>
      <c r="AC21" s="35"/>
      <c r="AD21" s="336"/>
      <c r="AE21"/>
      <c r="AF21"/>
      <c r="AG21" s="336"/>
      <c r="AH21" s="35"/>
      <c r="AI21" s="35"/>
      <c r="AJ21" s="336"/>
      <c r="AK21" s="35"/>
      <c r="AL21" s="35"/>
      <c r="AM21" s="336"/>
      <c r="AN21" s="35"/>
      <c r="AO21" s="35"/>
      <c r="AP21" s="336"/>
      <c r="AQ21" s="35"/>
      <c r="AR21" s="35"/>
      <c r="AS21" s="336"/>
      <c r="AT21" s="35"/>
      <c r="AU21" s="336"/>
      <c r="AV21" s="35"/>
      <c r="AW21" s="35"/>
      <c r="AX21" s="105" t="s">
        <v>81</v>
      </c>
      <c r="AY21" s="106">
        <f>AY19-AT19</f>
        <v>82786.800000000047</v>
      </c>
      <c r="AZ21" s="35"/>
      <c r="BA21" s="35"/>
    </row>
    <row r="22" spans="1:53" ht="16.5" x14ac:dyDescent="0.3">
      <c r="B22" s="65"/>
      <c r="C22" s="65"/>
      <c r="K22" s="35"/>
      <c r="M22" s="35"/>
      <c r="N22" s="35"/>
      <c r="P22" s="35"/>
      <c r="Q22" s="35"/>
      <c r="R22" s="336"/>
      <c r="S22" s="35"/>
      <c r="T22" s="35"/>
      <c r="U22" s="336"/>
      <c r="V22" s="35"/>
      <c r="W22" s="35"/>
      <c r="X22" s="336"/>
      <c r="Y22" s="35"/>
      <c r="Z22" s="35"/>
      <c r="AA22" s="336"/>
      <c r="AB22" s="35"/>
      <c r="AC22" s="35"/>
      <c r="AD22" s="336"/>
      <c r="AE22"/>
      <c r="AF22"/>
      <c r="AG22" s="336"/>
      <c r="AH22" s="35"/>
      <c r="AI22" s="35"/>
      <c r="AJ22" s="336"/>
      <c r="AK22" s="35"/>
      <c r="AL22" s="35"/>
      <c r="AM22" s="336"/>
      <c r="AN22" s="35"/>
      <c r="AO22" s="35"/>
      <c r="AP22" s="336"/>
      <c r="AQ22" s="35"/>
      <c r="AR22" s="320" t="s">
        <v>118</v>
      </c>
      <c r="AT22" s="1">
        <f>AT18-AT19</f>
        <v>0</v>
      </c>
      <c r="AX22" s="112" t="s">
        <v>100</v>
      </c>
      <c r="AY22" s="115">
        <f>AR19</f>
        <v>30000</v>
      </c>
    </row>
    <row r="23" spans="1:53" x14ac:dyDescent="0.2">
      <c r="B23" s="65"/>
      <c r="C23" s="65"/>
      <c r="AE23"/>
      <c r="AF23"/>
      <c r="AT23" s="1" t="s">
        <v>48</v>
      </c>
      <c r="AX23" s="113" t="s">
        <v>101</v>
      </c>
      <c r="AY23" s="114">
        <f>AY21+AY22</f>
        <v>112786.80000000005</v>
      </c>
    </row>
    <row r="24" spans="1:53" x14ac:dyDescent="0.2">
      <c r="B24" s="65"/>
      <c r="C24" s="65"/>
      <c r="AE24"/>
      <c r="AF24"/>
    </row>
    <row r="25" spans="1:53" x14ac:dyDescent="0.2">
      <c r="AE25"/>
      <c r="AF25"/>
    </row>
    <row r="26" spans="1:53" x14ac:dyDescent="0.2">
      <c r="AE26"/>
      <c r="AF26"/>
    </row>
    <row r="27" spans="1:53" x14ac:dyDescent="0.2">
      <c r="AE27"/>
      <c r="AF27"/>
    </row>
    <row r="28" spans="1:53" x14ac:dyDescent="0.2">
      <c r="AE28"/>
      <c r="AF28"/>
    </row>
    <row r="29" spans="1:53" x14ac:dyDescent="0.2">
      <c r="AE29"/>
      <c r="AF29"/>
    </row>
    <row r="30" spans="1:53" x14ac:dyDescent="0.2">
      <c r="AE30"/>
      <c r="AF30"/>
    </row>
    <row r="31" spans="1:53" x14ac:dyDescent="0.2">
      <c r="AE31"/>
      <c r="AF31"/>
    </row>
    <row r="32" spans="1:53" x14ac:dyDescent="0.2">
      <c r="AE32"/>
      <c r="AF32"/>
    </row>
    <row r="33" spans="31:32" ht="16.5" x14ac:dyDescent="0.3">
      <c r="AE33"/>
      <c r="AF33" s="35"/>
    </row>
    <row r="34" spans="31:32" ht="16.5" x14ac:dyDescent="0.3">
      <c r="AE34" s="35"/>
      <c r="AF34"/>
    </row>
    <row r="35" spans="31:32" x14ac:dyDescent="0.2">
      <c r="AE35"/>
      <c r="AF35"/>
    </row>
    <row r="36" spans="31:32" x14ac:dyDescent="0.2">
      <c r="AE36"/>
      <c r="AF36"/>
    </row>
    <row r="37" spans="31:32" x14ac:dyDescent="0.2">
      <c r="AE37"/>
      <c r="AF37"/>
    </row>
    <row r="38" spans="31:32" x14ac:dyDescent="0.2">
      <c r="AE38"/>
      <c r="AF38"/>
    </row>
    <row r="39" spans="31:32" x14ac:dyDescent="0.2">
      <c r="AE39"/>
      <c r="AF39"/>
    </row>
    <row r="40" spans="31:32" x14ac:dyDescent="0.2">
      <c r="AE40"/>
      <c r="AF40"/>
    </row>
    <row r="41" spans="31:32" x14ac:dyDescent="0.2">
      <c r="AE41"/>
      <c r="AF41"/>
    </row>
    <row r="42" spans="31:32" x14ac:dyDescent="0.2">
      <c r="AE42"/>
      <c r="AF42"/>
    </row>
    <row r="43" spans="31:32" x14ac:dyDescent="0.2">
      <c r="AE43"/>
      <c r="AF43"/>
    </row>
    <row r="44" spans="31:32" x14ac:dyDescent="0.2">
      <c r="AE44"/>
      <c r="AF44"/>
    </row>
    <row r="45" spans="31:32" x14ac:dyDescent="0.2">
      <c r="AE45"/>
      <c r="AF45"/>
    </row>
    <row r="46" spans="31:32" x14ac:dyDescent="0.2">
      <c r="AE46"/>
      <c r="AF46"/>
    </row>
    <row r="47" spans="31:32" x14ac:dyDescent="0.2">
      <c r="AE47"/>
      <c r="AF47"/>
    </row>
    <row r="48" spans="31:32" x14ac:dyDescent="0.2">
      <c r="AE48"/>
      <c r="AF48"/>
    </row>
    <row r="49" spans="31:32" ht="16.5" x14ac:dyDescent="0.3">
      <c r="AE49"/>
      <c r="AF49" s="35"/>
    </row>
    <row r="50" spans="31:32" ht="16.5" x14ac:dyDescent="0.3">
      <c r="AE50" s="35"/>
      <c r="AF50"/>
    </row>
    <row r="51" spans="31:32" x14ac:dyDescent="0.2">
      <c r="AE51"/>
      <c r="AF51"/>
    </row>
    <row r="52" spans="31:32" x14ac:dyDescent="0.2">
      <c r="AE52"/>
      <c r="AF52"/>
    </row>
    <row r="53" spans="31:32" x14ac:dyDescent="0.2">
      <c r="AE53"/>
      <c r="AF53"/>
    </row>
    <row r="54" spans="31:32" x14ac:dyDescent="0.2">
      <c r="AE54"/>
      <c r="AF54"/>
    </row>
    <row r="55" spans="31:32" x14ac:dyDescent="0.2">
      <c r="AE55"/>
      <c r="AF55"/>
    </row>
    <row r="56" spans="31:32" x14ac:dyDescent="0.2">
      <c r="AE56"/>
      <c r="AF56"/>
    </row>
    <row r="57" spans="31:32" x14ac:dyDescent="0.2">
      <c r="AE57"/>
      <c r="AF57"/>
    </row>
    <row r="58" spans="31:32" x14ac:dyDescent="0.2">
      <c r="AE58"/>
      <c r="AF58"/>
    </row>
    <row r="59" spans="31:32" x14ac:dyDescent="0.2">
      <c r="AE59"/>
      <c r="AF59"/>
    </row>
    <row r="60" spans="31:32" x14ac:dyDescent="0.2">
      <c r="AE60"/>
      <c r="AF60"/>
    </row>
    <row r="61" spans="31:32" x14ac:dyDescent="0.2">
      <c r="AE61"/>
      <c r="AF61"/>
    </row>
    <row r="62" spans="31:32" x14ac:dyDescent="0.2">
      <c r="AE62"/>
      <c r="AF62"/>
    </row>
    <row r="63" spans="31:32" x14ac:dyDescent="0.2">
      <c r="AE63"/>
      <c r="AF63"/>
    </row>
    <row r="64" spans="31:32" x14ac:dyDescent="0.2">
      <c r="AE64"/>
      <c r="AF64"/>
    </row>
    <row r="65" spans="31:32" ht="16.5" x14ac:dyDescent="0.3">
      <c r="AE65"/>
      <c r="AF65" s="35"/>
    </row>
    <row r="66" spans="31:32" ht="16.5" x14ac:dyDescent="0.3">
      <c r="AE66" s="35"/>
      <c r="AF66"/>
    </row>
    <row r="67" spans="31:32" x14ac:dyDescent="0.2">
      <c r="AE67"/>
      <c r="AF67"/>
    </row>
    <row r="68" spans="31:32" x14ac:dyDescent="0.2">
      <c r="AE68"/>
      <c r="AF68"/>
    </row>
    <row r="69" spans="31:32" x14ac:dyDescent="0.2">
      <c r="AE69"/>
      <c r="AF69"/>
    </row>
    <row r="70" spans="31:32" x14ac:dyDescent="0.2">
      <c r="AE70"/>
      <c r="AF70"/>
    </row>
    <row r="71" spans="31:32" x14ac:dyDescent="0.2">
      <c r="AE71"/>
      <c r="AF71"/>
    </row>
    <row r="72" spans="31:32" x14ac:dyDescent="0.2">
      <c r="AE72"/>
      <c r="AF72"/>
    </row>
    <row r="73" spans="31:32" x14ac:dyDescent="0.2">
      <c r="AE73"/>
      <c r="AF73"/>
    </row>
    <row r="74" spans="31:32" x14ac:dyDescent="0.2">
      <c r="AE74"/>
      <c r="AF74"/>
    </row>
    <row r="75" spans="31:32" x14ac:dyDescent="0.2">
      <c r="AE75"/>
      <c r="AF75"/>
    </row>
    <row r="76" spans="31:32" x14ac:dyDescent="0.2">
      <c r="AE76"/>
      <c r="AF76"/>
    </row>
    <row r="77" spans="31:32" x14ac:dyDescent="0.2">
      <c r="AE77"/>
      <c r="AF77"/>
    </row>
    <row r="78" spans="31:32" x14ac:dyDescent="0.2">
      <c r="AE78"/>
      <c r="AF78"/>
    </row>
    <row r="79" spans="31:32" x14ac:dyDescent="0.2">
      <c r="AE79"/>
      <c r="AF79"/>
    </row>
    <row r="80" spans="31:32" x14ac:dyDescent="0.2">
      <c r="AE80"/>
      <c r="AF80"/>
    </row>
    <row r="81" spans="31:31" x14ac:dyDescent="0.2">
      <c r="AE81"/>
    </row>
    <row r="82" spans="31:31" ht="16.5" x14ac:dyDescent="0.3">
      <c r="AE82" s="35"/>
    </row>
    <row r="83" spans="31:31" x14ac:dyDescent="0.2">
      <c r="AE83"/>
    </row>
    <row r="84" spans="31:31" x14ac:dyDescent="0.2">
      <c r="AE84"/>
    </row>
    <row r="85" spans="31:31" x14ac:dyDescent="0.2">
      <c r="AE85"/>
    </row>
    <row r="86" spans="31:31" x14ac:dyDescent="0.2">
      <c r="AE86"/>
    </row>
    <row r="87" spans="31:31" x14ac:dyDescent="0.2">
      <c r="AE87"/>
    </row>
    <row r="88" spans="31:31" x14ac:dyDescent="0.2">
      <c r="AE88"/>
    </row>
    <row r="89" spans="31:31" x14ac:dyDescent="0.2">
      <c r="AE89"/>
    </row>
    <row r="90" spans="31:31" x14ac:dyDescent="0.2">
      <c r="AE90"/>
    </row>
    <row r="91" spans="31:31" x14ac:dyDescent="0.2">
      <c r="AE91"/>
    </row>
    <row r="92" spans="31:31" x14ac:dyDescent="0.2">
      <c r="AE92"/>
    </row>
    <row r="93" spans="31:31" x14ac:dyDescent="0.2">
      <c r="AE93"/>
    </row>
    <row r="94" spans="31:31" x14ac:dyDescent="0.2">
      <c r="AE94"/>
    </row>
    <row r="95" spans="31:31" x14ac:dyDescent="0.2">
      <c r="AE95"/>
    </row>
    <row r="96" spans="31:31" x14ac:dyDescent="0.2">
      <c r="AE96"/>
    </row>
    <row r="97" spans="31:31" x14ac:dyDescent="0.2">
      <c r="AE97"/>
    </row>
    <row r="98" spans="31:31" ht="16.5" x14ac:dyDescent="0.3">
      <c r="AE98" s="35"/>
    </row>
    <row r="99" spans="31:31" x14ac:dyDescent="0.2">
      <c r="AE99"/>
    </row>
    <row r="100" spans="31:31" x14ac:dyDescent="0.2">
      <c r="AE100"/>
    </row>
    <row r="101" spans="31:31" x14ac:dyDescent="0.2">
      <c r="AE101"/>
    </row>
    <row r="102" spans="31:31" x14ac:dyDescent="0.2">
      <c r="AE102"/>
    </row>
    <row r="103" spans="31:31" x14ac:dyDescent="0.2">
      <c r="AE103"/>
    </row>
    <row r="104" spans="31:31" x14ac:dyDescent="0.2">
      <c r="AE104"/>
    </row>
    <row r="105" spans="31:31" x14ac:dyDescent="0.2">
      <c r="AE105"/>
    </row>
    <row r="106" spans="31:31" x14ac:dyDescent="0.2">
      <c r="AE106"/>
    </row>
    <row r="107" spans="31:31" x14ac:dyDescent="0.2">
      <c r="AE107"/>
    </row>
    <row r="108" spans="31:31" x14ac:dyDescent="0.2">
      <c r="AE108"/>
    </row>
    <row r="109" spans="31:31" x14ac:dyDescent="0.2">
      <c r="AE109"/>
    </row>
    <row r="110" spans="31:31" x14ac:dyDescent="0.2">
      <c r="AE110"/>
    </row>
    <row r="111" spans="31:31" x14ac:dyDescent="0.2">
      <c r="AE111"/>
    </row>
    <row r="112" spans="31:31" x14ac:dyDescent="0.2">
      <c r="AE112"/>
    </row>
    <row r="113" spans="31:31" x14ac:dyDescent="0.2">
      <c r="AE113"/>
    </row>
  </sheetData>
  <hyperlinks>
    <hyperlink ref="S2" location="'O-o-P_6_RegionlTeamsCo-ord'!A1" display="Out-of-Pockets 6 Regional"/>
    <hyperlink ref="S3" location="'O-o-P_6_RegionlTeamsCo-ord'!A1" display="Town Teams Co-ordinators"/>
    <hyperlink ref="P2" location="'Out-of-pockets 20 WOOs'!A1" display="Out-of-pockets 20 WOOs"/>
    <hyperlink ref="M2" location="'Out-of-pockets Three Judges'!A1" display="'Out-of-pockets Three Judges'!A1"/>
    <hyperlink ref="J2" location="'Mentor flights,accom,meals'!A1" display="Mentors flights, accom, meals "/>
    <hyperlink ref="B2:C2" location="'Student transport,accom,meals'!A1" display="Student transport, accomm &amp; meals - three annual Challenges"/>
    <hyperlink ref="E2:H2" location="'3 Challenge equip &amp; clothing'!A1" display="Student uniforms, school suit &amp; equipment"/>
    <hyperlink ref="P3" location="'Out-of-pockets 20 WOOs'!A1" display="'Wise Old Owls'"/>
    <hyperlink ref="AN2" location="'Website Development'!A1" display="Website Developments"/>
    <hyperlink ref="Y2" location="'10_LocalConnectorLabourCost'!A1" display="'10_LocalConnectorLabourCost'!A1"/>
    <hyperlink ref="AB2:AB3" location="'1stYearYoungCorpSponSportEmploy'!A1" display="10 Younger Corp Sponsor "/>
    <hyperlink ref="AH2:AH3" location="'Summary Costs &amp; Receipts'!A1" display="2nd &amp; 3rd Years"/>
    <hyperlink ref="AK2" location="'20 Work Experience flight costs'!A1" display="20 Work Experience "/>
    <hyperlink ref="AK3" location="'20 Work Experience flight costs'!A1" display="Recipients flight costs"/>
    <hyperlink ref="V2" location="'Out-of-pockets_Local_Connectors'!A1" display="O-of-Ps_Local_Connectors"/>
    <hyperlink ref="AE2" location="Local_Connector_cameras!A1" display="Digital Cameras"/>
  </hyperlink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/>
  </sheetViews>
  <sheetFormatPr defaultRowHeight="12.75" x14ac:dyDescent="0.2"/>
  <cols>
    <col min="1" max="1" width="16.85546875" style="37" customWidth="1"/>
    <col min="2" max="2" width="38.85546875" customWidth="1"/>
    <col min="3" max="3" width="12.85546875" customWidth="1"/>
    <col min="4" max="4" width="14.28515625" customWidth="1"/>
    <col min="5" max="5" width="18.140625" customWidth="1"/>
    <col min="6" max="6" width="15.28515625" customWidth="1"/>
    <col min="7" max="7" width="10.5703125" style="37" customWidth="1"/>
    <col min="8" max="8" width="10" customWidth="1"/>
    <col min="9" max="9" width="2.140625" style="68" customWidth="1"/>
    <col min="10" max="10" width="9.140625" customWidth="1"/>
    <col min="11" max="11" width="11.85546875" customWidth="1"/>
    <col min="12" max="12" width="9.140625" customWidth="1"/>
  </cols>
  <sheetData>
    <row r="1" spans="1:12" ht="15.75" x14ac:dyDescent="0.25">
      <c r="A1" s="85" t="s">
        <v>277</v>
      </c>
    </row>
    <row r="2" spans="1:12" x14ac:dyDescent="0.2">
      <c r="A2" s="65" t="s">
        <v>276</v>
      </c>
    </row>
    <row r="3" spans="1:12" x14ac:dyDescent="0.2">
      <c r="A3" s="166" t="s">
        <v>265</v>
      </c>
    </row>
    <row r="4" spans="1:12" x14ac:dyDescent="0.2">
      <c r="A4" s="166" t="s">
        <v>266</v>
      </c>
    </row>
    <row r="5" spans="1:12" ht="15.75" customHeight="1" x14ac:dyDescent="0.2">
      <c r="A5" s="166" t="s">
        <v>271</v>
      </c>
    </row>
    <row r="7" spans="1:12" x14ac:dyDescent="0.2">
      <c r="A7" s="166"/>
    </row>
    <row r="8" spans="1:12" ht="78" customHeight="1" x14ac:dyDescent="0.2">
      <c r="B8" s="67" t="s">
        <v>61</v>
      </c>
      <c r="C8" s="67" t="s">
        <v>272</v>
      </c>
      <c r="D8" s="67" t="s">
        <v>273</v>
      </c>
      <c r="E8" s="67" t="s">
        <v>274</v>
      </c>
      <c r="F8" s="67" t="s">
        <v>275</v>
      </c>
      <c r="G8" s="67" t="s">
        <v>156</v>
      </c>
      <c r="H8" s="67" t="s">
        <v>7</v>
      </c>
      <c r="J8" s="67" t="s">
        <v>110</v>
      </c>
      <c r="K8" s="67" t="s">
        <v>111</v>
      </c>
      <c r="L8" s="67" t="s">
        <v>7</v>
      </c>
    </row>
    <row r="9" spans="1:12" ht="15.75" customHeight="1" x14ac:dyDescent="0.2">
      <c r="A9" s="102" t="s">
        <v>31</v>
      </c>
      <c r="B9" s="102" t="s">
        <v>69</v>
      </c>
      <c r="C9" s="70">
        <v>5</v>
      </c>
      <c r="D9" s="61">
        <f>'Mentor flights,accom,meals'!F8</f>
        <v>550</v>
      </c>
      <c r="E9" s="61">
        <v>40</v>
      </c>
      <c r="F9" s="61">
        <f>'Mentor flights,accom,meals'!I8</f>
        <v>50</v>
      </c>
      <c r="G9" s="37">
        <f>7+1</f>
        <v>8</v>
      </c>
      <c r="H9" s="1">
        <f>(C9*(E9+F9)*G9)+(C9*D9)</f>
        <v>6350</v>
      </c>
      <c r="J9" s="1">
        <f>C9*D9</f>
        <v>2750</v>
      </c>
      <c r="K9" s="1">
        <f>(E9+F9)*C9*G9</f>
        <v>3600</v>
      </c>
      <c r="L9" s="1">
        <f>J9+K9</f>
        <v>6350</v>
      </c>
    </row>
    <row r="10" spans="1:12" x14ac:dyDescent="0.2">
      <c r="B10" s="102" t="s">
        <v>70</v>
      </c>
      <c r="C10" s="70">
        <v>5</v>
      </c>
      <c r="D10" s="61">
        <f>D9</f>
        <v>550</v>
      </c>
      <c r="E10" s="61">
        <f>E9</f>
        <v>40</v>
      </c>
      <c r="F10" s="61">
        <f>F9</f>
        <v>50</v>
      </c>
      <c r="G10" s="37">
        <f>G9</f>
        <v>8</v>
      </c>
      <c r="H10" s="1">
        <f t="shared" ref="H10" si="0">(C10*(E10+F10)*G10)+(C10*D10)</f>
        <v>6350</v>
      </c>
      <c r="J10" s="1">
        <f t="shared" ref="J10" si="1">C10*D10</f>
        <v>2750</v>
      </c>
      <c r="K10" s="1">
        <f t="shared" ref="K10" si="2">(E10+F10)*C10*G10</f>
        <v>3600</v>
      </c>
      <c r="L10" s="1">
        <f t="shared" ref="L10" si="3">J10+K10</f>
        <v>6350</v>
      </c>
    </row>
    <row r="11" spans="1:12" x14ac:dyDescent="0.2">
      <c r="B11" s="7"/>
      <c r="C11" s="70"/>
      <c r="D11" s="61" t="s">
        <v>48</v>
      </c>
      <c r="H11" s="1">
        <f>SUM(H9:H10)</f>
        <v>12700</v>
      </c>
      <c r="J11" s="120">
        <f>SUM(J9:J10)</f>
        <v>5500</v>
      </c>
      <c r="K11" s="120">
        <f>SUM(K9:K10)</f>
        <v>7200</v>
      </c>
      <c r="L11" s="120">
        <f>SUM(L9:L10)</f>
        <v>12700</v>
      </c>
    </row>
    <row r="12" spans="1:12" x14ac:dyDescent="0.2">
      <c r="B12" s="7"/>
    </row>
    <row r="13" spans="1:12" x14ac:dyDescent="0.2">
      <c r="B13" s="7"/>
    </row>
  </sheetData>
  <hyperlinks>
    <hyperlink ref="B9" r:id="rId1" display="../3TeamChall/1/West_Coast_Tri-Sports_Challenge.htm"/>
    <hyperlink ref="B10" r:id="rId2" display="../3TeamChall/1/East_Coast_Tri-Sports_Challenge.htm"/>
    <hyperlink ref="A9" r:id="rId3" display="../RTV/First_RTV_Year.htm"/>
  </hyperlinks>
  <pageMargins left="0.7" right="0.7" top="0.75" bottom="0.75" header="0.3" footer="0.3"/>
  <pageSetup paperSize="9" orientation="portrait" horizontalDpi="0" verticalDpi="0"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5"/>
  <sheetViews>
    <sheetView workbookViewId="0"/>
  </sheetViews>
  <sheetFormatPr defaultRowHeight="12.75" x14ac:dyDescent="0.2"/>
  <cols>
    <col min="1" max="1" width="7.42578125" customWidth="1"/>
    <col min="2" max="3" width="11.5703125" customWidth="1"/>
    <col min="4" max="4" width="12.28515625" customWidth="1"/>
    <col min="5" max="5" width="13.140625" customWidth="1"/>
    <col min="6" max="6" width="9" customWidth="1"/>
    <col min="7" max="8" width="11.5703125" customWidth="1"/>
    <col min="9" max="9" width="11.140625" customWidth="1"/>
    <col min="10" max="10" width="12.140625" customWidth="1"/>
    <col min="11" max="11" width="12.5703125" customWidth="1"/>
    <col min="12" max="12" width="11.5703125" customWidth="1"/>
    <col min="13" max="13" width="12" customWidth="1"/>
    <col min="14" max="14" width="11.28515625" customWidth="1"/>
    <col min="15" max="15" width="11.85546875" customWidth="1"/>
    <col min="16" max="16" width="13.28515625" customWidth="1"/>
    <col min="17" max="17" width="2.28515625" style="68" customWidth="1"/>
    <col min="18" max="18" width="9.140625" customWidth="1"/>
    <col min="19" max="19" width="8" customWidth="1"/>
    <col min="20" max="20" width="7.85546875" customWidth="1"/>
    <col min="22" max="22" width="1.140625" customWidth="1"/>
  </cols>
  <sheetData>
    <row r="2" spans="1:23" ht="15" x14ac:dyDescent="0.25">
      <c r="A2" s="116" t="s">
        <v>88</v>
      </c>
    </row>
    <row r="3" spans="1:23" ht="4.5" customHeight="1" x14ac:dyDescent="0.2"/>
    <row r="4" spans="1:23" ht="16.5" thickBot="1" x14ac:dyDescent="0.3">
      <c r="A4" t="s">
        <v>134</v>
      </c>
      <c r="B4" s="85"/>
      <c r="C4" s="85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55"/>
      <c r="R4" s="85"/>
    </row>
    <row r="5" spans="1:23" ht="201.75" customHeight="1" x14ac:dyDescent="0.3">
      <c r="A5" s="75" t="s">
        <v>149</v>
      </c>
      <c r="B5" s="148" t="s">
        <v>135</v>
      </c>
      <c r="C5" s="148" t="s">
        <v>136</v>
      </c>
      <c r="D5" s="148" t="s">
        <v>133</v>
      </c>
      <c r="E5" s="150" t="s">
        <v>215</v>
      </c>
      <c r="F5" s="148" t="s">
        <v>162</v>
      </c>
      <c r="G5" s="148" t="s">
        <v>137</v>
      </c>
      <c r="H5" s="150" t="s">
        <v>138</v>
      </c>
      <c r="I5" s="148" t="s">
        <v>143</v>
      </c>
      <c r="J5" s="148" t="s">
        <v>141</v>
      </c>
      <c r="K5" s="150" t="s">
        <v>142</v>
      </c>
      <c r="L5" s="148" t="s">
        <v>132</v>
      </c>
      <c r="M5" s="148" t="s">
        <v>139</v>
      </c>
      <c r="N5" s="150" t="s">
        <v>140</v>
      </c>
      <c r="O5" s="158" t="s">
        <v>144</v>
      </c>
      <c r="P5" s="162" t="s">
        <v>145</v>
      </c>
      <c r="Q5" s="156"/>
      <c r="R5" s="148" t="s">
        <v>157</v>
      </c>
      <c r="S5" s="148" t="s">
        <v>131</v>
      </c>
      <c r="T5" s="149" t="s">
        <v>86</v>
      </c>
      <c r="U5" s="148" t="s">
        <v>87</v>
      </c>
      <c r="V5" s="149"/>
      <c r="W5" s="149" t="s">
        <v>7</v>
      </c>
    </row>
    <row r="6" spans="1:23" ht="16.5" x14ac:dyDescent="0.2">
      <c r="A6" s="73" t="s">
        <v>146</v>
      </c>
      <c r="B6" s="37">
        <v>2</v>
      </c>
      <c r="C6" s="37">
        <v>5</v>
      </c>
      <c r="D6" s="62">
        <f>'Out-of-pockets Three Judges'!D5</f>
        <v>550</v>
      </c>
      <c r="E6" s="151">
        <f>B6*C6*D6</f>
        <v>5500</v>
      </c>
      <c r="F6" s="147">
        <v>4</v>
      </c>
      <c r="G6" s="145">
        <v>400</v>
      </c>
      <c r="H6" s="154">
        <f>C6*G6</f>
        <v>2000</v>
      </c>
      <c r="I6" s="62">
        <f>'Out-of-pockets Three Judges'!E5</f>
        <v>100</v>
      </c>
      <c r="J6" s="62">
        <f>I6*F6*$B$6</f>
        <v>800</v>
      </c>
      <c r="K6" s="151">
        <f>J6*10</f>
        <v>8000</v>
      </c>
      <c r="L6" s="62">
        <f>'Out-of-pockets Three Judges'!F5</f>
        <v>50</v>
      </c>
      <c r="M6" s="62">
        <f>B6*F6*L6</f>
        <v>400</v>
      </c>
      <c r="N6" s="151">
        <f>M6*10</f>
        <v>4000</v>
      </c>
      <c r="O6" s="159">
        <f>50*10</f>
        <v>500</v>
      </c>
      <c r="P6" s="163">
        <f>E6+H6+K6+N6+O6</f>
        <v>20000</v>
      </c>
      <c r="Q6" s="157"/>
      <c r="R6" s="37">
        <v>6</v>
      </c>
      <c r="S6" s="12">
        <v>120</v>
      </c>
      <c r="T6" s="12">
        <v>20</v>
      </c>
      <c r="U6" s="12">
        <v>300</v>
      </c>
      <c r="W6" s="12">
        <f>R6*(S6+T6+U6)+P6</f>
        <v>22640</v>
      </c>
    </row>
    <row r="7" spans="1:23" ht="16.5" x14ac:dyDescent="0.2">
      <c r="A7" s="73"/>
      <c r="E7" s="152"/>
      <c r="H7" s="152"/>
      <c r="K7" s="152"/>
      <c r="N7" s="152"/>
      <c r="O7" s="160"/>
      <c r="P7" s="164"/>
      <c r="R7" s="37"/>
    </row>
    <row r="8" spans="1:23" ht="16.5" x14ac:dyDescent="0.2">
      <c r="A8" s="73" t="s">
        <v>147</v>
      </c>
      <c r="E8" s="152"/>
      <c r="H8" s="152"/>
      <c r="K8" s="152"/>
      <c r="N8" s="152"/>
      <c r="O8" s="160"/>
      <c r="P8" s="164"/>
      <c r="R8" s="37">
        <v>6</v>
      </c>
      <c r="S8" s="12">
        <f>S6*0.7</f>
        <v>84</v>
      </c>
      <c r="T8" s="12">
        <f>T6*0.7</f>
        <v>14</v>
      </c>
      <c r="U8" s="12">
        <f>U6*0.7</f>
        <v>210</v>
      </c>
      <c r="W8" s="12">
        <f>R8*(S8+T8+U8)</f>
        <v>1848</v>
      </c>
    </row>
    <row r="9" spans="1:23" ht="16.5" x14ac:dyDescent="0.2">
      <c r="A9" s="73"/>
      <c r="E9" s="152"/>
      <c r="H9" s="152"/>
      <c r="K9" s="152"/>
      <c r="N9" s="152"/>
      <c r="O9" s="160"/>
      <c r="P9" s="164"/>
      <c r="R9" s="37"/>
    </row>
    <row r="10" spans="1:23" ht="16.5" x14ac:dyDescent="0.2">
      <c r="A10" s="73" t="s">
        <v>148</v>
      </c>
      <c r="E10" s="152"/>
      <c r="H10" s="152"/>
      <c r="K10" s="152"/>
      <c r="N10" s="152"/>
      <c r="O10" s="160"/>
      <c r="P10" s="164"/>
      <c r="R10" s="37">
        <v>6</v>
      </c>
      <c r="S10" s="108">
        <f>S8*0.9</f>
        <v>75.600000000000009</v>
      </c>
      <c r="T10" s="108">
        <f>T8*0.9</f>
        <v>12.6</v>
      </c>
      <c r="U10" s="108">
        <f>U8*0.9</f>
        <v>189</v>
      </c>
      <c r="W10" s="108">
        <f>R10*(S10+T10+U10)</f>
        <v>1663.1999999999998</v>
      </c>
    </row>
    <row r="11" spans="1:23" ht="13.5" thickBot="1" x14ac:dyDescent="0.25">
      <c r="A11" s="70"/>
      <c r="E11" s="153"/>
      <c r="H11" s="153"/>
      <c r="K11" s="153"/>
      <c r="N11" s="153"/>
      <c r="O11" s="161"/>
      <c r="P11" s="165"/>
      <c r="W11" s="109">
        <f>W6+W8+W10</f>
        <v>26151.200000000001</v>
      </c>
    </row>
    <row r="12" spans="1:23" x14ac:dyDescent="0.2">
      <c r="A12" s="70"/>
    </row>
    <row r="13" spans="1:23" x14ac:dyDescent="0.2">
      <c r="S13" s="12">
        <f>SUM(S5:S11)</f>
        <v>279.60000000000002</v>
      </c>
      <c r="T13" s="12">
        <f>SUM(T5:T11)</f>
        <v>46.6</v>
      </c>
      <c r="U13" s="12">
        <f>SUM(U5:U11)</f>
        <v>699</v>
      </c>
      <c r="W13" s="12">
        <f>SUM(W5:W10)</f>
        <v>26151.200000000001</v>
      </c>
    </row>
    <row r="15" spans="1:23" x14ac:dyDescent="0.2">
      <c r="S15" s="3" t="s">
        <v>200</v>
      </c>
      <c r="W15" s="12">
        <f>(S13+T13+U13)*R10</f>
        <v>6151.2000000000007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D11" sqref="D11"/>
    </sheetView>
  </sheetViews>
  <sheetFormatPr defaultRowHeight="12.75" x14ac:dyDescent="0.2"/>
  <cols>
    <col min="1" max="1" width="16.85546875" style="37" customWidth="1"/>
    <col min="2" max="2" width="38.85546875" customWidth="1"/>
    <col min="3" max="3" width="12.85546875" customWidth="1"/>
    <col min="4" max="4" width="14.28515625" customWidth="1"/>
    <col min="5" max="5" width="15.7109375" customWidth="1"/>
    <col min="6" max="6" width="15.28515625" customWidth="1"/>
    <col min="7" max="7" width="10.5703125" style="37" customWidth="1"/>
    <col min="8" max="8" width="10" customWidth="1"/>
    <col min="9" max="9" width="2.140625" style="68" customWidth="1"/>
    <col min="10" max="10" width="9.140625" customWidth="1"/>
    <col min="11" max="11" width="11.85546875" customWidth="1"/>
    <col min="12" max="12" width="9.140625" customWidth="1"/>
  </cols>
  <sheetData>
    <row r="1" spans="1:14" ht="15.75" x14ac:dyDescent="0.25">
      <c r="A1" s="85" t="s">
        <v>258</v>
      </c>
    </row>
    <row r="2" spans="1:14" ht="15.75" customHeight="1" x14ac:dyDescent="0.2">
      <c r="A2" s="166" t="s">
        <v>263</v>
      </c>
    </row>
    <row r="3" spans="1:14" ht="15.75" customHeight="1" x14ac:dyDescent="0.2">
      <c r="A3" s="166" t="s">
        <v>264</v>
      </c>
    </row>
    <row r="4" spans="1:14" ht="15.75" customHeight="1" x14ac:dyDescent="0.2">
      <c r="A4" s="166" t="s">
        <v>265</v>
      </c>
    </row>
    <row r="5" spans="1:14" x14ac:dyDescent="0.2">
      <c r="A5" s="166" t="s">
        <v>266</v>
      </c>
    </row>
    <row r="6" spans="1:14" x14ac:dyDescent="0.2">
      <c r="A6" s="166"/>
    </row>
    <row r="7" spans="1:14" ht="63.75" customHeight="1" x14ac:dyDescent="0.2">
      <c r="B7" s="67" t="s">
        <v>61</v>
      </c>
      <c r="C7" s="67" t="s">
        <v>259</v>
      </c>
      <c r="D7" s="67" t="s">
        <v>260</v>
      </c>
      <c r="E7" s="67" t="s">
        <v>261</v>
      </c>
      <c r="F7" s="67" t="s">
        <v>262</v>
      </c>
      <c r="G7" s="67" t="s">
        <v>156</v>
      </c>
      <c r="H7" s="67" t="s">
        <v>7</v>
      </c>
      <c r="J7" s="67" t="s">
        <v>110</v>
      </c>
      <c r="K7" s="67" t="s">
        <v>111</v>
      </c>
      <c r="L7" s="67" t="s">
        <v>7</v>
      </c>
      <c r="M7" s="67" t="s">
        <v>7</v>
      </c>
    </row>
    <row r="8" spans="1:14" x14ac:dyDescent="0.2">
      <c r="A8" s="102" t="s">
        <v>32</v>
      </c>
      <c r="B8" s="102" t="s">
        <v>71</v>
      </c>
      <c r="C8" s="70">
        <v>3</v>
      </c>
      <c r="D8" s="61">
        <v>550</v>
      </c>
      <c r="E8" s="61">
        <v>40</v>
      </c>
      <c r="F8" s="61">
        <v>50</v>
      </c>
      <c r="G8" s="37">
        <f>'2ndYearTravelAccommMealsLabour'!M7</f>
        <v>7</v>
      </c>
      <c r="H8" s="1">
        <f t="shared" ref="H8:H10" si="0">(C8*(E8+F8)*G8)+(C8*D8)</f>
        <v>3540</v>
      </c>
      <c r="J8" s="1">
        <f t="shared" ref="J8:J10" si="1">C8*D8</f>
        <v>1650</v>
      </c>
      <c r="K8" s="1">
        <f t="shared" ref="K8:K10" si="2">(E8+F8)*C8*G8</f>
        <v>1890</v>
      </c>
      <c r="L8" s="1">
        <f t="shared" ref="L8:L10" si="3">J8+K8</f>
        <v>3540</v>
      </c>
    </row>
    <row r="9" spans="1:14" x14ac:dyDescent="0.2">
      <c r="B9" s="102" t="s">
        <v>72</v>
      </c>
      <c r="C9" s="70">
        <v>3</v>
      </c>
      <c r="D9" s="61">
        <f t="shared" ref="D9:E10" si="4">D8</f>
        <v>550</v>
      </c>
      <c r="E9" s="61">
        <f t="shared" si="4"/>
        <v>40</v>
      </c>
      <c r="F9" s="61">
        <f>F8</f>
        <v>50</v>
      </c>
      <c r="G9" s="37">
        <f>G8</f>
        <v>7</v>
      </c>
      <c r="H9" s="1">
        <f t="shared" si="0"/>
        <v>3540</v>
      </c>
      <c r="J9" s="1">
        <f t="shared" si="1"/>
        <v>1650</v>
      </c>
      <c r="K9" s="1">
        <f t="shared" si="2"/>
        <v>1890</v>
      </c>
      <c r="L9" s="1">
        <f t="shared" si="3"/>
        <v>3540</v>
      </c>
      <c r="M9" s="1">
        <f>L8+L9</f>
        <v>7080</v>
      </c>
      <c r="N9" s="259" t="s">
        <v>267</v>
      </c>
    </row>
    <row r="10" spans="1:14" x14ac:dyDescent="0.2">
      <c r="A10" s="102" t="s">
        <v>33</v>
      </c>
      <c r="B10" s="102" t="s">
        <v>73</v>
      </c>
      <c r="C10" s="70">
        <v>6</v>
      </c>
      <c r="D10" s="122">
        <v>700</v>
      </c>
      <c r="E10" s="122">
        <f t="shared" si="4"/>
        <v>40</v>
      </c>
      <c r="F10" s="122">
        <f>F9</f>
        <v>50</v>
      </c>
      <c r="G10" s="37">
        <f>G9-1</f>
        <v>6</v>
      </c>
      <c r="H10" s="101">
        <f t="shared" si="0"/>
        <v>7440</v>
      </c>
      <c r="J10" s="101">
        <f t="shared" si="1"/>
        <v>4200</v>
      </c>
      <c r="K10" s="101">
        <f t="shared" si="2"/>
        <v>3240</v>
      </c>
      <c r="L10" s="101">
        <f t="shared" si="3"/>
        <v>7440</v>
      </c>
      <c r="M10" s="1">
        <f>L10</f>
        <v>7440</v>
      </c>
      <c r="N10" s="259" t="s">
        <v>268</v>
      </c>
    </row>
    <row r="11" spans="1:14" x14ac:dyDescent="0.2">
      <c r="B11" s="7"/>
      <c r="C11" s="70"/>
      <c r="D11" s="61" t="s">
        <v>48</v>
      </c>
      <c r="H11" s="1">
        <f>SUM(H8:H10)</f>
        <v>14520</v>
      </c>
      <c r="J11" s="120">
        <f>SUM(J8:J10)</f>
        <v>7500</v>
      </c>
      <c r="K11" s="120">
        <f>SUM(K8:K10)</f>
        <v>7020</v>
      </c>
      <c r="L11" s="120">
        <f>SUM(L8:L10)</f>
        <v>14520</v>
      </c>
      <c r="M11" s="120">
        <f>SUM(M8:M10)</f>
        <v>14520</v>
      </c>
    </row>
    <row r="12" spans="1:14" x14ac:dyDescent="0.2">
      <c r="B12" s="7"/>
    </row>
    <row r="13" spans="1:14" x14ac:dyDescent="0.2">
      <c r="B13" s="7"/>
    </row>
  </sheetData>
  <hyperlinks>
    <hyperlink ref="B10" r:id="rId1" display="../3TeamChall/3/Capital_City_Venue.htm"/>
    <hyperlink ref="A10" r:id="rId2" display="../RTV/Third_RTV_Year.htm"/>
  </hyperlinks>
  <pageMargins left="0.7" right="0.7" top="0.75" bottom="0.75" header="0.3" footer="0.3"/>
  <pageSetup paperSize="9" orientation="portrait" horizontalDpi="0" verticalDpi="0"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opLeftCell="A3" workbookViewId="0">
      <selection activeCell="J7" sqref="J7"/>
    </sheetView>
  </sheetViews>
  <sheetFormatPr defaultRowHeight="12.75" x14ac:dyDescent="0.2"/>
  <cols>
    <col min="1" max="1" width="12.42578125" customWidth="1"/>
    <col min="6" max="6" width="10.85546875" customWidth="1"/>
    <col min="7" max="7" width="5.140625" style="62" customWidth="1"/>
    <col min="8" max="8" width="4" style="70" customWidth="1"/>
    <col min="9" max="9" width="6.140625" style="62" customWidth="1"/>
    <col min="10" max="10" width="6.7109375" style="37" customWidth="1"/>
    <col min="12" max="12" width="10.140625" customWidth="1"/>
    <col min="13" max="13" width="10.7109375" customWidth="1"/>
  </cols>
  <sheetData>
    <row r="1" spans="1:13" x14ac:dyDescent="0.2">
      <c r="A1" s="3" t="s">
        <v>239</v>
      </c>
    </row>
    <row r="3" spans="1:13" ht="53.25" customHeight="1" x14ac:dyDescent="0.25">
      <c r="A3" s="304" t="s">
        <v>270</v>
      </c>
      <c r="J3" s="295" t="s">
        <v>243</v>
      </c>
      <c r="K3" s="295" t="s">
        <v>241</v>
      </c>
      <c r="L3" s="295" t="s">
        <v>240</v>
      </c>
      <c r="M3" s="295" t="s">
        <v>242</v>
      </c>
    </row>
    <row r="4" spans="1:13" ht="16.5" customHeight="1" x14ac:dyDescent="0.2">
      <c r="A4" t="s">
        <v>3</v>
      </c>
      <c r="B4" s="5" t="s">
        <v>244</v>
      </c>
      <c r="C4" s="3"/>
      <c r="D4" s="3"/>
      <c r="E4" s="3"/>
      <c r="F4" s="3"/>
      <c r="G4" s="61">
        <f>50+20</f>
        <v>70</v>
      </c>
      <c r="H4" s="37">
        <v>6</v>
      </c>
      <c r="I4" s="61">
        <f>G4*H4</f>
        <v>420</v>
      </c>
      <c r="J4" s="37">
        <v>35</v>
      </c>
      <c r="K4" s="61">
        <f>I4*J4</f>
        <v>14700</v>
      </c>
      <c r="L4" s="37">
        <v>10</v>
      </c>
      <c r="M4" s="1">
        <f>K4*L4</f>
        <v>147000</v>
      </c>
    </row>
    <row r="5" spans="1:13" ht="22.5" customHeight="1" x14ac:dyDescent="0.2">
      <c r="A5" t="s">
        <v>4</v>
      </c>
      <c r="B5" s="5" t="s">
        <v>2</v>
      </c>
      <c r="C5" s="3"/>
      <c r="D5" s="3"/>
      <c r="E5" s="3"/>
      <c r="F5" s="3"/>
      <c r="G5" s="61">
        <f>G4</f>
        <v>70</v>
      </c>
      <c r="H5" s="37">
        <v>3</v>
      </c>
      <c r="I5" s="61">
        <f>G5*H5</f>
        <v>210</v>
      </c>
      <c r="J5" s="37">
        <f>J4</f>
        <v>35</v>
      </c>
      <c r="K5" s="61">
        <f>I5*J5</f>
        <v>7350</v>
      </c>
      <c r="L5" s="37">
        <f>L4</f>
        <v>10</v>
      </c>
      <c r="M5" s="1">
        <f t="shared" ref="M5:M6" si="0">K5*L5</f>
        <v>73500</v>
      </c>
    </row>
    <row r="6" spans="1:13" ht="19.5" customHeight="1" x14ac:dyDescent="0.2">
      <c r="A6" t="s">
        <v>5</v>
      </c>
      <c r="B6" s="5" t="s">
        <v>245</v>
      </c>
      <c r="C6" s="3"/>
      <c r="D6" s="3"/>
      <c r="E6" s="3"/>
      <c r="F6" s="3"/>
      <c r="G6" s="61">
        <f>G5</f>
        <v>70</v>
      </c>
      <c r="H6" s="37">
        <v>3</v>
      </c>
      <c r="I6" s="61">
        <f>G6*H6</f>
        <v>210</v>
      </c>
      <c r="J6" s="37">
        <f>J5</f>
        <v>35</v>
      </c>
      <c r="K6" s="61">
        <f>I6*J6</f>
        <v>7350</v>
      </c>
      <c r="L6" s="37">
        <f>L5</f>
        <v>10</v>
      </c>
      <c r="M6" s="1">
        <f t="shared" si="0"/>
        <v>73500</v>
      </c>
    </row>
    <row r="8" spans="1:13" x14ac:dyDescent="0.2">
      <c r="M8" s="1">
        <f>SUM(M4:M6)</f>
        <v>294000</v>
      </c>
    </row>
  </sheetData>
  <hyperlinks>
    <hyperlink ref="B4" r:id="rId1" display="../3TeamChall/1/Year_9_Mixed_Teams_Tri-Sports_Challenge.htm"/>
    <hyperlink ref="B5" r:id="rId2" display="../3TeamChall/2/Year10MixedTeamsPublicSpeakingChallenge.htm"/>
    <hyperlink ref="B6" r:id="rId3" display="../3TeamChall/3/Year_11_Teams'_I.T._Geek_Challenge.htm"/>
  </hyperlinks>
  <pageMargins left="0.7" right="0.7" top="0.75" bottom="0.75" header="0.3" footer="0.3"/>
  <pageSetup paperSize="9" orientation="portrait" horizontalDpi="0" verticalDpi="0"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G18" sqref="G18"/>
    </sheetView>
  </sheetViews>
  <sheetFormatPr defaultRowHeight="12.75" x14ac:dyDescent="0.2"/>
  <cols>
    <col min="1" max="1" width="22.7109375" style="37" customWidth="1"/>
    <col min="2" max="2" width="7.28515625" customWidth="1"/>
    <col min="3" max="3" width="10.28515625" customWidth="1"/>
    <col min="4" max="4" width="10.85546875" customWidth="1"/>
    <col min="5" max="5" width="6.42578125" customWidth="1"/>
    <col min="6" max="6" width="6.5703125" customWidth="1"/>
    <col min="7" max="7" width="8.7109375" customWidth="1"/>
    <col min="8" max="8" width="9.140625" customWidth="1"/>
    <col min="9" max="9" width="10.85546875" customWidth="1"/>
    <col min="10" max="10" width="10" customWidth="1"/>
    <col min="11" max="11" width="27.42578125" customWidth="1"/>
    <col min="12" max="12" width="10.85546875" customWidth="1"/>
    <col min="13" max="13" width="11" customWidth="1"/>
    <col min="14" max="14" width="11.28515625" customWidth="1"/>
    <col min="16" max="16" width="2.140625" style="68" customWidth="1"/>
    <col min="17" max="17" width="7.42578125" customWidth="1"/>
    <col min="18" max="18" width="7.7109375" customWidth="1"/>
    <col min="19" max="19" width="7.85546875" customWidth="1"/>
  </cols>
  <sheetData>
    <row r="1" spans="1:15" ht="15.75" x14ac:dyDescent="0.25">
      <c r="A1" s="85" t="s">
        <v>96</v>
      </c>
    </row>
    <row r="3" spans="1:15" ht="53.25" customHeight="1" x14ac:dyDescent="0.2">
      <c r="B3" s="67" t="s">
        <v>97</v>
      </c>
      <c r="C3" s="67" t="s">
        <v>219</v>
      </c>
      <c r="D3" s="67" t="s">
        <v>221</v>
      </c>
      <c r="E3" s="67" t="s">
        <v>220</v>
      </c>
      <c r="F3" s="67" t="s">
        <v>222</v>
      </c>
      <c r="G3" s="67" t="s">
        <v>223</v>
      </c>
      <c r="H3" s="67" t="s">
        <v>224</v>
      </c>
      <c r="I3" s="67" t="s">
        <v>80</v>
      </c>
      <c r="J3" s="67" t="s">
        <v>115</v>
      </c>
      <c r="K3" s="67" t="s">
        <v>129</v>
      </c>
      <c r="L3" s="67" t="s">
        <v>130</v>
      </c>
      <c r="M3" s="67" t="s">
        <v>77</v>
      </c>
      <c r="N3" s="67" t="s">
        <v>116</v>
      </c>
      <c r="O3" s="67" t="s">
        <v>7</v>
      </c>
    </row>
    <row r="4" spans="1:15" ht="15.75" customHeight="1" x14ac:dyDescent="0.2">
      <c r="A4" s="102" t="s">
        <v>31</v>
      </c>
      <c r="B4" s="70">
        <v>10</v>
      </c>
      <c r="C4" s="62">
        <f>'1stYearTravelAccommMealsLabour'!L16</f>
        <v>550</v>
      </c>
      <c r="D4" s="62">
        <f>'1stYearTravelAccommMealsLabour'!O16</f>
        <v>40</v>
      </c>
      <c r="E4" s="62">
        <f>'1stYearTravelAccommMealsLabour'!Q14</f>
        <v>50</v>
      </c>
      <c r="F4" s="70">
        <f>'1stYearTravelAccommMealsLabour'!N16</f>
        <v>8</v>
      </c>
      <c r="G4" s="62">
        <f>((D4+E4)*F4)+C4</f>
        <v>1270</v>
      </c>
      <c r="H4" s="62">
        <f>B4*G4</f>
        <v>12700</v>
      </c>
      <c r="I4" s="61">
        <v>100</v>
      </c>
      <c r="J4" s="61">
        <f>$B$4*I4</f>
        <v>1000</v>
      </c>
      <c r="K4" s="61">
        <v>450</v>
      </c>
      <c r="L4" s="61">
        <f>$B$4*K4</f>
        <v>4500</v>
      </c>
      <c r="M4" s="61">
        <v>50</v>
      </c>
      <c r="N4" s="61">
        <f>$B$4*M4</f>
        <v>500</v>
      </c>
      <c r="O4" s="1">
        <f>(J4+L4+N4)+H4</f>
        <v>18700</v>
      </c>
    </row>
    <row r="5" spans="1:15" x14ac:dyDescent="0.2">
      <c r="A5" s="102" t="s">
        <v>32</v>
      </c>
      <c r="B5" s="70">
        <v>10</v>
      </c>
      <c r="C5" s="62">
        <f>'2ndYearTravelAccommMealsLabour'!L11</f>
        <v>550</v>
      </c>
      <c r="D5" s="62">
        <f>'2ndYearTravelAccommMealsLabour'!N11</f>
        <v>40</v>
      </c>
      <c r="E5" s="62">
        <f>'3rdYearTravelAccommMealsLabour'!P11</f>
        <v>50</v>
      </c>
      <c r="F5" s="70">
        <f>'2ndYearTravelAccommMealsLabour'!M11</f>
        <v>7</v>
      </c>
      <c r="G5" s="62">
        <f>((D5+E5)*F5)+C5</f>
        <v>1180</v>
      </c>
      <c r="H5" s="62">
        <f t="shared" ref="H5:H6" si="0">B5*G5</f>
        <v>11800</v>
      </c>
      <c r="I5" s="61">
        <f t="shared" ref="I5:M6" si="1">I4</f>
        <v>100</v>
      </c>
      <c r="J5" s="61">
        <f t="shared" ref="J5:N6" si="2">$B$4*I5</f>
        <v>1000</v>
      </c>
      <c r="K5" s="61">
        <v>450</v>
      </c>
      <c r="L5" s="61">
        <f t="shared" ref="L5:L6" si="3">$B$4*K5</f>
        <v>4500</v>
      </c>
      <c r="M5" s="61">
        <f t="shared" si="1"/>
        <v>50</v>
      </c>
      <c r="N5" s="61">
        <f t="shared" si="2"/>
        <v>500</v>
      </c>
      <c r="O5" s="1">
        <f t="shared" ref="O5:O6" si="4">(J5+L5+N5)+H5</f>
        <v>17800</v>
      </c>
    </row>
    <row r="6" spans="1:15" x14ac:dyDescent="0.2">
      <c r="A6" s="102" t="s">
        <v>33</v>
      </c>
      <c r="B6" s="344">
        <v>10</v>
      </c>
      <c r="C6" s="62">
        <f>'3rdYearTravelAccommMealsLabour'!L11</f>
        <v>700</v>
      </c>
      <c r="D6" s="62">
        <f>'3rdYearTravelAccommMealsLabour'!N11</f>
        <v>40</v>
      </c>
      <c r="E6" s="62">
        <f>'3rdYearTravelAccommMealsLabour'!P11</f>
        <v>50</v>
      </c>
      <c r="F6" s="70">
        <f>'3rdYearTravelAccommMealsLabour'!M11</f>
        <v>6</v>
      </c>
      <c r="G6" s="62">
        <f>((D6+E6)*F6)+C6</f>
        <v>1240</v>
      </c>
      <c r="H6" s="280">
        <f t="shared" si="0"/>
        <v>12400</v>
      </c>
      <c r="I6" s="61">
        <f t="shared" si="1"/>
        <v>100</v>
      </c>
      <c r="J6" s="121">
        <f t="shared" si="2"/>
        <v>1000</v>
      </c>
      <c r="K6" s="144">
        <v>450</v>
      </c>
      <c r="L6" s="121">
        <f t="shared" si="3"/>
        <v>4500</v>
      </c>
      <c r="M6" s="61">
        <f t="shared" si="1"/>
        <v>50</v>
      </c>
      <c r="N6" s="121">
        <f t="shared" si="2"/>
        <v>500</v>
      </c>
      <c r="O6" s="1">
        <f t="shared" si="4"/>
        <v>18400</v>
      </c>
    </row>
    <row r="7" spans="1:15" x14ac:dyDescent="0.2">
      <c r="B7" s="70">
        <f>SUM(B4:B6)</f>
        <v>30</v>
      </c>
      <c r="C7" s="70"/>
      <c r="D7" s="70"/>
      <c r="E7" s="70"/>
      <c r="F7" s="70"/>
      <c r="G7" s="70"/>
      <c r="H7" s="62">
        <f>SUM(H4:H6)</f>
        <v>36900</v>
      </c>
      <c r="J7" s="61">
        <f>SUM(J4:J6)</f>
        <v>3000</v>
      </c>
      <c r="K7" s="61"/>
      <c r="L7" s="61">
        <f>SUM(L4:L6)</f>
        <v>13500</v>
      </c>
      <c r="N7" s="61">
        <f>SUM(N4:N6)</f>
        <v>1500</v>
      </c>
      <c r="O7" s="1">
        <f>SUM(O4:O6)</f>
        <v>54900</v>
      </c>
    </row>
  </sheetData>
  <hyperlinks>
    <hyperlink ref="A4" r:id="rId1" display="../RTV/First_RTV_Year.htm"/>
    <hyperlink ref="A5" r:id="rId2" display="../RTV/Second_RTV_Year.htm"/>
    <hyperlink ref="A6" r:id="rId3" display="../RTV/Third_RTV_Year.htm"/>
  </hyperlinks>
  <pageMargins left="0.7" right="0.7" top="0.75" bottom="0.75" header="0.3" footer="0.3"/>
  <pageSetup paperSize="9" orientation="portrait" horizontalDpi="0" verticalDpi="0"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"/>
  <sheetViews>
    <sheetView workbookViewId="0">
      <selection activeCell="E3" sqref="E3"/>
    </sheetView>
  </sheetViews>
  <sheetFormatPr defaultRowHeight="12.75" x14ac:dyDescent="0.2"/>
  <cols>
    <col min="5" max="5" width="12.7109375" customWidth="1"/>
    <col min="6" max="6" width="12.85546875" customWidth="1"/>
  </cols>
  <sheetData>
    <row r="1" spans="2:6" ht="15.75" x14ac:dyDescent="0.25">
      <c r="B1" s="85" t="s">
        <v>295</v>
      </c>
    </row>
    <row r="2" spans="2:6" x14ac:dyDescent="0.2">
      <c r="B2" s="3"/>
    </row>
    <row r="3" spans="2:6" x14ac:dyDescent="0.2">
      <c r="E3" s="3" t="s">
        <v>293</v>
      </c>
    </row>
    <row r="4" spans="2:6" x14ac:dyDescent="0.2">
      <c r="B4">
        <v>10</v>
      </c>
      <c r="C4" t="s">
        <v>240</v>
      </c>
      <c r="E4" s="340">
        <v>400</v>
      </c>
      <c r="F4" s="340">
        <f>B4*E4</f>
        <v>4000</v>
      </c>
    </row>
    <row r="5" spans="2:6" x14ac:dyDescent="0.2">
      <c r="B5">
        <v>5</v>
      </c>
      <c r="C5" t="s">
        <v>294</v>
      </c>
      <c r="E5" s="340">
        <f>E4</f>
        <v>400</v>
      </c>
      <c r="F5" s="341">
        <f>B5*E5</f>
        <v>2000</v>
      </c>
    </row>
    <row r="6" spans="2:6" x14ac:dyDescent="0.2">
      <c r="F6" s="340">
        <f>SUM(F4:F5)</f>
        <v>6000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0"/>
  <sheetViews>
    <sheetView workbookViewId="0">
      <selection activeCell="A2" sqref="A2"/>
    </sheetView>
  </sheetViews>
  <sheetFormatPr defaultRowHeight="12.75" x14ac:dyDescent="0.2"/>
  <cols>
    <col min="1" max="1" width="16" customWidth="1"/>
  </cols>
  <sheetData>
    <row r="2" spans="1:2" ht="15.75" x14ac:dyDescent="0.25">
      <c r="A2" s="85" t="s">
        <v>85</v>
      </c>
    </row>
    <row r="4" spans="1:2" x14ac:dyDescent="0.2">
      <c r="A4" s="3" t="s">
        <v>3</v>
      </c>
      <c r="B4" s="12">
        <v>12000</v>
      </c>
    </row>
    <row r="6" spans="1:2" x14ac:dyDescent="0.2">
      <c r="A6" s="3" t="s">
        <v>4</v>
      </c>
      <c r="B6" s="12">
        <f>B4*0.7</f>
        <v>8400</v>
      </c>
    </row>
    <row r="8" spans="1:2" x14ac:dyDescent="0.2">
      <c r="A8" s="3" t="s">
        <v>5</v>
      </c>
      <c r="B8" s="108">
        <f>B6*0.6</f>
        <v>5040</v>
      </c>
    </row>
    <row r="10" spans="1:2" x14ac:dyDescent="0.2">
      <c r="B10" s="12">
        <f>SUM(B3:B9)</f>
        <v>25440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4"/>
  <sheetViews>
    <sheetView topLeftCell="N1" workbookViewId="0">
      <selection activeCell="X25" sqref="X25"/>
    </sheetView>
  </sheetViews>
  <sheetFormatPr defaultRowHeight="16.5" x14ac:dyDescent="0.3"/>
  <cols>
    <col min="1" max="1" width="36.7109375" style="149" customWidth="1"/>
    <col min="2" max="2" width="7.7109375" customWidth="1"/>
    <col min="3" max="3" width="8.7109375" customWidth="1"/>
    <col min="4" max="4" width="8.140625" customWidth="1"/>
    <col min="5" max="5" width="9.42578125" style="70" customWidth="1"/>
    <col min="6" max="6" width="17.140625" style="70" customWidth="1"/>
    <col min="7" max="7" width="8.85546875" style="70" customWidth="1"/>
    <col min="8" max="8" width="11.5703125" style="70" customWidth="1"/>
    <col min="9" max="9" width="14.28515625" style="70" customWidth="1"/>
    <col min="10" max="10" width="21.42578125" style="70" customWidth="1"/>
    <col min="11" max="11" width="13.85546875" style="70" customWidth="1"/>
    <col min="12" max="13" width="13.42578125" style="37" customWidth="1"/>
    <col min="14" max="14" width="10" style="37" customWidth="1"/>
    <col min="15" max="15" width="19.28515625" style="35" customWidth="1"/>
    <col min="16" max="16" width="14.5703125" style="35" customWidth="1"/>
    <col min="17" max="17" width="10.85546875" style="35" customWidth="1"/>
    <col min="18" max="18" width="13.42578125" style="35" customWidth="1"/>
    <col min="19" max="19" width="15.5703125" style="35" customWidth="1"/>
    <col min="20" max="20" width="21.140625" style="35" customWidth="1"/>
    <col min="21" max="21" width="41.7109375" style="35" customWidth="1"/>
    <col min="22" max="22" width="1.5703125" style="35" customWidth="1"/>
    <col min="23" max="23" width="20.28515625" customWidth="1"/>
    <col min="24" max="24" width="17.42578125" style="286" customWidth="1"/>
    <col min="25" max="25" width="10.140625" customWidth="1"/>
    <col min="26" max="26" width="26.7109375" customWidth="1"/>
    <col min="27" max="27" width="9.28515625" customWidth="1"/>
  </cols>
  <sheetData>
    <row r="1" spans="1:25" ht="102.75" customHeight="1" x14ac:dyDescent="0.3">
      <c r="A1" s="172" t="s">
        <v>163</v>
      </c>
      <c r="B1" s="173" t="s">
        <v>167</v>
      </c>
      <c r="C1" s="173" t="s">
        <v>168</v>
      </c>
      <c r="D1" s="173" t="s">
        <v>169</v>
      </c>
      <c r="E1" s="174" t="s">
        <v>166</v>
      </c>
      <c r="F1" s="174" t="s">
        <v>171</v>
      </c>
      <c r="G1" s="174" t="s">
        <v>172</v>
      </c>
      <c r="H1" s="174" t="s">
        <v>175</v>
      </c>
      <c r="I1" s="174" t="s">
        <v>178</v>
      </c>
      <c r="J1" s="174" t="s">
        <v>173</v>
      </c>
      <c r="K1" s="174" t="s">
        <v>236</v>
      </c>
      <c r="L1" s="254" t="s">
        <v>207</v>
      </c>
      <c r="M1" s="254" t="s">
        <v>208</v>
      </c>
      <c r="N1" s="254" t="s">
        <v>176</v>
      </c>
      <c r="O1" s="174" t="s">
        <v>180</v>
      </c>
      <c r="P1" s="174" t="s">
        <v>179</v>
      </c>
      <c r="Q1" s="174" t="s">
        <v>177</v>
      </c>
      <c r="R1" s="174" t="s">
        <v>181</v>
      </c>
      <c r="S1" s="174" t="s">
        <v>182</v>
      </c>
      <c r="T1" s="174" t="s">
        <v>183</v>
      </c>
      <c r="U1" s="174" t="s">
        <v>187</v>
      </c>
      <c r="W1" s="174" t="s">
        <v>231</v>
      </c>
      <c r="X1" s="315" t="s">
        <v>257</v>
      </c>
    </row>
    <row r="2" spans="1:25" ht="17.25" customHeight="1" x14ac:dyDescent="0.3">
      <c r="A2" s="170" t="s">
        <v>185</v>
      </c>
      <c r="B2" s="182">
        <v>1</v>
      </c>
      <c r="C2" s="178">
        <v>3</v>
      </c>
      <c r="D2" s="188"/>
      <c r="E2" s="180">
        <v>10</v>
      </c>
      <c r="F2" s="189"/>
      <c r="G2" s="189"/>
      <c r="H2" s="189"/>
      <c r="I2" s="183">
        <v>6</v>
      </c>
      <c r="J2" s="187"/>
      <c r="K2" s="187"/>
      <c r="U2" s="316">
        <f>'2ndYearTravelAccommMealsLabour'!T15+'3rdYearTravelAccommMealsLabour'!T15</f>
        <v>14520</v>
      </c>
      <c r="X2" s="285">
        <f>'2ndYearTravelAccommMealsLabour'!V15+'3rdYearTravelAccommMealsLabour'!V15</f>
        <v>780</v>
      </c>
      <c r="Y2" s="219" t="s">
        <v>209</v>
      </c>
    </row>
    <row r="3" spans="1:25" ht="5.25" customHeight="1" x14ac:dyDescent="0.3">
      <c r="A3" s="170"/>
      <c r="B3" s="182"/>
      <c r="C3" s="178"/>
      <c r="D3" s="175"/>
      <c r="E3" s="180"/>
      <c r="F3" s="171"/>
      <c r="G3" s="171"/>
      <c r="H3" s="171"/>
      <c r="I3" s="74"/>
      <c r="J3" s="183"/>
      <c r="K3" s="183"/>
      <c r="L3" s="194"/>
      <c r="M3" s="194"/>
      <c r="N3" s="194"/>
      <c r="Q3" s="194"/>
    </row>
    <row r="4" spans="1:25" s="219" customFormat="1" ht="23.25" customHeight="1" x14ac:dyDescent="0.2">
      <c r="A4" s="206" t="s">
        <v>170</v>
      </c>
      <c r="B4" s="207">
        <v>1</v>
      </c>
      <c r="C4" s="176">
        <v>1</v>
      </c>
      <c r="D4" s="208"/>
      <c r="E4" s="180">
        <v>10</v>
      </c>
      <c r="F4" s="184">
        <v>2</v>
      </c>
      <c r="G4" s="185">
        <f>B4*E4</f>
        <v>10</v>
      </c>
      <c r="H4" s="227">
        <f>F4*G4</f>
        <v>20</v>
      </c>
      <c r="I4" s="184">
        <v>6</v>
      </c>
      <c r="J4" s="186">
        <f>H4/I4</f>
        <v>3.3333333333333335</v>
      </c>
      <c r="K4" s="186"/>
      <c r="L4" s="265">
        <v>550</v>
      </c>
      <c r="M4" s="267">
        <f>400/2</f>
        <v>200</v>
      </c>
      <c r="N4" s="210">
        <v>4</v>
      </c>
      <c r="O4" s="211">
        <v>100</v>
      </c>
      <c r="P4" s="212">
        <f>N4*O4</f>
        <v>400</v>
      </c>
      <c r="Q4" s="213">
        <v>50</v>
      </c>
      <c r="R4" s="214">
        <f>Q4*N4</f>
        <v>200</v>
      </c>
      <c r="S4" s="215">
        <f>(L4+M4)/2+P4+R4</f>
        <v>975</v>
      </c>
      <c r="T4" s="216">
        <f>F4*S4</f>
        <v>1950</v>
      </c>
      <c r="U4" s="217">
        <f>T4*G4</f>
        <v>19500</v>
      </c>
      <c r="V4" s="218"/>
      <c r="W4" s="283">
        <f>F4*E4*(N4-1)</f>
        <v>60</v>
      </c>
      <c r="X4" s="285">
        <f>W4</f>
        <v>60</v>
      </c>
      <c r="Y4" s="219" t="s">
        <v>209</v>
      </c>
    </row>
    <row r="5" spans="1:25" ht="6" customHeight="1" x14ac:dyDescent="0.3">
      <c r="B5" s="35"/>
      <c r="C5" s="35"/>
      <c r="D5" s="35"/>
      <c r="E5" s="74"/>
      <c r="F5" s="74"/>
      <c r="G5" s="74"/>
      <c r="H5" s="74"/>
      <c r="I5" s="74"/>
      <c r="J5" s="74"/>
      <c r="K5" s="74"/>
      <c r="L5" s="194"/>
      <c r="M5" s="194"/>
      <c r="N5" s="194"/>
      <c r="Q5" s="194"/>
    </row>
    <row r="6" spans="1:25" s="219" customFormat="1" x14ac:dyDescent="0.2">
      <c r="A6" s="206" t="s">
        <v>164</v>
      </c>
      <c r="B6" s="207">
        <v>1</v>
      </c>
      <c r="C6" s="176">
        <v>1</v>
      </c>
      <c r="D6" s="179">
        <v>3</v>
      </c>
      <c r="E6" s="180">
        <v>10</v>
      </c>
      <c r="F6" s="181">
        <v>1</v>
      </c>
      <c r="G6" s="185">
        <f>B6*D6*E6</f>
        <v>30</v>
      </c>
      <c r="H6" s="227">
        <f>F6*G6</f>
        <v>30</v>
      </c>
      <c r="I6" s="181">
        <f>4*3</f>
        <v>12</v>
      </c>
      <c r="J6" s="190">
        <f>H6/I6</f>
        <v>2.5</v>
      </c>
      <c r="K6" s="190"/>
      <c r="L6" s="265">
        <f>L4</f>
        <v>550</v>
      </c>
      <c r="M6" s="209"/>
      <c r="N6" s="210">
        <v>4</v>
      </c>
      <c r="O6" s="211">
        <f>O4</f>
        <v>100</v>
      </c>
      <c r="P6" s="212">
        <f>N6*O6</f>
        <v>400</v>
      </c>
      <c r="Q6" s="213">
        <f>Q4</f>
        <v>50</v>
      </c>
      <c r="R6" s="214">
        <f>Q6*N6</f>
        <v>200</v>
      </c>
      <c r="S6" s="215">
        <f>L6+P6+R6</f>
        <v>1150</v>
      </c>
      <c r="T6" s="216">
        <f>F6*S6</f>
        <v>1150</v>
      </c>
      <c r="U6" s="221">
        <f>T6*G6</f>
        <v>34500</v>
      </c>
      <c r="V6" s="218"/>
      <c r="W6" s="283">
        <f>D6*F6*E6*(N6-1)</f>
        <v>90</v>
      </c>
      <c r="X6" s="285">
        <f>'2ndYearTravelAccommMealsLabour'!V3+'3rdYearTravelAccommMealsLabour'!V3+'1stYearTravelAccommMealsLabour'!W6</f>
        <v>210</v>
      </c>
      <c r="Y6" s="219" t="s">
        <v>209</v>
      </c>
    </row>
    <row r="7" spans="1:25" ht="5.25" customHeight="1" x14ac:dyDescent="0.3">
      <c r="B7" s="35"/>
      <c r="C7" s="74"/>
      <c r="D7" s="74"/>
      <c r="E7" s="74"/>
      <c r="F7" s="74"/>
      <c r="G7" s="74"/>
      <c r="H7" s="74"/>
      <c r="I7" s="74"/>
      <c r="J7" s="74"/>
      <c r="K7" s="74"/>
      <c r="L7" s="194"/>
      <c r="M7" s="194"/>
      <c r="N7" s="194"/>
      <c r="Q7" s="194"/>
    </row>
    <row r="8" spans="1:25" ht="15" customHeight="1" x14ac:dyDescent="0.3">
      <c r="A8" s="308" t="s">
        <v>255</v>
      </c>
      <c r="B8" s="207">
        <v>1</v>
      </c>
      <c r="C8" s="176">
        <v>1</v>
      </c>
      <c r="D8" s="179">
        <v>1</v>
      </c>
      <c r="E8" s="180">
        <v>10</v>
      </c>
      <c r="F8" s="309">
        <v>1</v>
      </c>
      <c r="G8" s="235">
        <v>1</v>
      </c>
      <c r="H8" s="227">
        <v>10</v>
      </c>
      <c r="I8" s="310">
        <v>10</v>
      </c>
      <c r="J8" s="311">
        <v>1</v>
      </c>
      <c r="K8" s="74"/>
      <c r="L8" s="265">
        <f>L6</f>
        <v>550</v>
      </c>
      <c r="M8" s="194"/>
      <c r="N8" s="196">
        <v>8</v>
      </c>
      <c r="O8" s="195">
        <f>O6*0.4</f>
        <v>40</v>
      </c>
      <c r="P8" s="212">
        <f>N8*O8</f>
        <v>320</v>
      </c>
      <c r="Q8" s="213">
        <f>Q6</f>
        <v>50</v>
      </c>
      <c r="R8" s="214">
        <f>Q8*N8</f>
        <v>400</v>
      </c>
      <c r="S8" s="215">
        <f>L8+P8+R8</f>
        <v>1270</v>
      </c>
      <c r="T8" s="216">
        <f>F8*S8</f>
        <v>1270</v>
      </c>
      <c r="U8" s="312">
        <f>T8*G8*E8</f>
        <v>12700</v>
      </c>
      <c r="W8" s="283">
        <f>D8*F8*E8*(N8-1)</f>
        <v>70</v>
      </c>
      <c r="X8" s="285">
        <f>'1stYearTravelAccommMealsLabour'!W8</f>
        <v>70</v>
      </c>
      <c r="Y8" s="219" t="s">
        <v>209</v>
      </c>
    </row>
    <row r="9" spans="1:25" ht="6" customHeight="1" x14ac:dyDescent="0.3">
      <c r="B9" s="35"/>
      <c r="C9" s="74"/>
      <c r="D9" s="74"/>
      <c r="E9" s="74"/>
      <c r="F9" s="74"/>
      <c r="G9" s="74"/>
      <c r="H9" s="74"/>
      <c r="I9" s="74"/>
      <c r="J9" s="74"/>
      <c r="K9" s="74"/>
      <c r="L9" s="194"/>
      <c r="M9" s="194"/>
      <c r="N9" s="194"/>
      <c r="Q9" s="194"/>
    </row>
    <row r="10" spans="1:25" s="192" customFormat="1" x14ac:dyDescent="0.3">
      <c r="A10" s="170" t="s">
        <v>165</v>
      </c>
      <c r="B10" s="182">
        <v>1</v>
      </c>
      <c r="C10" s="177">
        <v>3</v>
      </c>
      <c r="D10" s="220">
        <v>3</v>
      </c>
      <c r="E10" s="199">
        <v>10</v>
      </c>
      <c r="F10" s="222">
        <v>1</v>
      </c>
      <c r="G10" s="200">
        <f>B10*D10*E10</f>
        <v>30</v>
      </c>
      <c r="H10" s="228">
        <f>F10*G10</f>
        <v>30</v>
      </c>
      <c r="I10" s="246">
        <v>6</v>
      </c>
      <c r="J10" s="223">
        <f>H10/I10</f>
        <v>5</v>
      </c>
      <c r="K10" s="223"/>
      <c r="L10" s="266">
        <f>L6</f>
        <v>550</v>
      </c>
      <c r="M10" s="191"/>
      <c r="N10" s="196">
        <v>4</v>
      </c>
      <c r="O10" s="201">
        <f>O6</f>
        <v>100</v>
      </c>
      <c r="P10" s="202">
        <f>N10*O10</f>
        <v>400</v>
      </c>
      <c r="Q10" s="197">
        <f>Q6</f>
        <v>50</v>
      </c>
      <c r="R10" s="203">
        <f>Q10*N10</f>
        <v>200</v>
      </c>
      <c r="S10" s="204">
        <f>L10+P10+R10</f>
        <v>1150</v>
      </c>
      <c r="T10" s="205">
        <f>F10*S10</f>
        <v>1150</v>
      </c>
      <c r="U10" s="224">
        <f>T10*G10</f>
        <v>34500</v>
      </c>
      <c r="V10" s="193"/>
      <c r="W10" s="283">
        <f>D10*F10*E10*(N10-1)</f>
        <v>90</v>
      </c>
      <c r="X10" s="285">
        <f>'2ndYearTravelAccommMealsLabour'!V5+'3rdYearTravelAccommMealsLabour'!V5+'1stYearTravelAccommMealsLabour'!W10</f>
        <v>150</v>
      </c>
      <c r="Y10" s="219" t="s">
        <v>209</v>
      </c>
    </row>
    <row r="11" spans="1:25" s="251" customFormat="1" ht="5.25" customHeight="1" x14ac:dyDescent="0.3">
      <c r="A11" s="247"/>
      <c r="B11" s="248"/>
      <c r="C11" s="248"/>
      <c r="D11" s="248"/>
      <c r="E11" s="249"/>
      <c r="F11" s="249"/>
      <c r="G11" s="249"/>
      <c r="H11" s="249"/>
      <c r="I11" s="249"/>
      <c r="J11" s="249"/>
      <c r="K11" s="249"/>
      <c r="L11" s="250"/>
      <c r="M11" s="250"/>
      <c r="N11" s="250"/>
      <c r="O11" s="248"/>
      <c r="P11" s="248"/>
      <c r="Q11" s="248"/>
      <c r="R11" s="248"/>
      <c r="S11" s="248"/>
      <c r="T11" s="248"/>
      <c r="U11" s="248"/>
      <c r="V11" s="248"/>
      <c r="X11" s="287"/>
    </row>
    <row r="12" spans="1:25" x14ac:dyDescent="0.3">
      <c r="A12" s="170" t="s">
        <v>184</v>
      </c>
      <c r="B12" s="182">
        <v>1</v>
      </c>
      <c r="C12" s="177">
        <v>3</v>
      </c>
      <c r="D12" s="231">
        <v>3</v>
      </c>
      <c r="E12" s="180">
        <v>10</v>
      </c>
      <c r="F12" s="225">
        <v>3</v>
      </c>
      <c r="G12" s="226">
        <v>2</v>
      </c>
      <c r="H12" s="229">
        <f>F12*G12</f>
        <v>6</v>
      </c>
      <c r="I12" s="225">
        <f>F12</f>
        <v>3</v>
      </c>
      <c r="J12" s="230">
        <f>G12</f>
        <v>2</v>
      </c>
      <c r="K12" s="230"/>
      <c r="L12" s="266">
        <f>L10</f>
        <v>550</v>
      </c>
      <c r="M12" s="191"/>
      <c r="N12" s="196">
        <v>8</v>
      </c>
      <c r="O12" s="195">
        <f>O10</f>
        <v>100</v>
      </c>
      <c r="P12" s="202">
        <f>N12*O12</f>
        <v>800</v>
      </c>
      <c r="Q12" s="213">
        <f>Q10</f>
        <v>50</v>
      </c>
      <c r="R12" s="203">
        <f>Q12*N12</f>
        <v>400</v>
      </c>
      <c r="S12" s="204">
        <f>L12+P12+R12</f>
        <v>1750</v>
      </c>
      <c r="T12" s="205">
        <f>F12*S12</f>
        <v>5250</v>
      </c>
      <c r="U12" s="252">
        <f>T12*G12</f>
        <v>10500</v>
      </c>
      <c r="W12" s="283">
        <f>D12*G12*F12*(N12-1)</f>
        <v>126</v>
      </c>
      <c r="X12" s="285">
        <f>'2ndYearTravelAccommMealsLabour'!V7+'3rdYearTravelAccommMealsLabour'!V7+'1stYearTravelAccommMealsLabour'!W12</f>
        <v>192</v>
      </c>
      <c r="Y12" s="219" t="s">
        <v>209</v>
      </c>
    </row>
    <row r="13" spans="1:25" ht="6" customHeight="1" x14ac:dyDescent="0.3">
      <c r="B13" s="35"/>
      <c r="C13" s="35"/>
      <c r="D13" s="35"/>
      <c r="E13" s="74"/>
      <c r="F13" s="74"/>
      <c r="G13" s="74"/>
      <c r="H13" s="74"/>
      <c r="I13" s="74"/>
      <c r="J13" s="74"/>
      <c r="K13" s="74"/>
      <c r="L13" s="194"/>
      <c r="M13" s="194"/>
      <c r="N13" s="194"/>
    </row>
    <row r="14" spans="1:25" x14ac:dyDescent="0.3">
      <c r="A14" s="206" t="s">
        <v>186</v>
      </c>
      <c r="B14" s="233">
        <v>4</v>
      </c>
      <c r="C14" s="234">
        <v>4</v>
      </c>
      <c r="D14" s="231">
        <v>3</v>
      </c>
      <c r="E14" s="180">
        <v>10</v>
      </c>
      <c r="F14" s="74"/>
      <c r="G14" s="235">
        <v>1</v>
      </c>
      <c r="H14" s="227">
        <v>120</v>
      </c>
      <c r="I14" s="240">
        <f>H14</f>
        <v>120</v>
      </c>
      <c r="J14" s="241">
        <f>G14</f>
        <v>1</v>
      </c>
      <c r="K14" s="241"/>
      <c r="L14" s="266">
        <f>L12</f>
        <v>550</v>
      </c>
      <c r="M14" s="191"/>
      <c r="N14" s="196">
        <f>N12</f>
        <v>8</v>
      </c>
      <c r="O14" s="195">
        <f>O12*0.4</f>
        <v>40</v>
      </c>
      <c r="P14" s="202">
        <f>N14*O14</f>
        <v>320</v>
      </c>
      <c r="Q14" s="213">
        <f>Q12</f>
        <v>50</v>
      </c>
      <c r="R14" s="203">
        <f>Q14*N14</f>
        <v>400</v>
      </c>
      <c r="S14" s="204">
        <f>L14+P14+R14</f>
        <v>1270</v>
      </c>
      <c r="T14" s="205">
        <f>H14*S14</f>
        <v>152400</v>
      </c>
      <c r="U14" s="198">
        <f>T14</f>
        <v>152400</v>
      </c>
      <c r="X14" s="286" t="s">
        <v>48</v>
      </c>
    </row>
    <row r="15" spans="1:25" ht="6" customHeight="1" x14ac:dyDescent="0.3">
      <c r="B15" s="35"/>
      <c r="C15" s="35"/>
      <c r="D15" s="35"/>
      <c r="E15" s="74"/>
      <c r="F15" s="74"/>
      <c r="G15" s="74"/>
      <c r="H15" s="74"/>
      <c r="I15" s="74"/>
      <c r="J15" s="74"/>
      <c r="K15" s="74"/>
      <c r="L15" s="194"/>
      <c r="M15" s="194"/>
      <c r="N15" s="194"/>
    </row>
    <row r="16" spans="1:25" x14ac:dyDescent="0.3">
      <c r="A16" s="206" t="s">
        <v>97</v>
      </c>
      <c r="B16" s="207">
        <v>1</v>
      </c>
      <c r="C16" s="236">
        <v>3</v>
      </c>
      <c r="D16" s="231">
        <v>3</v>
      </c>
      <c r="E16" s="180">
        <v>10</v>
      </c>
      <c r="F16" s="237">
        <v>1</v>
      </c>
      <c r="G16" s="235">
        <v>1</v>
      </c>
      <c r="H16" s="227">
        <v>10</v>
      </c>
      <c r="I16" s="238">
        <f>H16</f>
        <v>10</v>
      </c>
      <c r="J16" s="239">
        <f>H16/I16</f>
        <v>1</v>
      </c>
      <c r="K16" s="239"/>
      <c r="L16" s="266">
        <f>L14</f>
        <v>550</v>
      </c>
      <c r="M16" s="191"/>
      <c r="N16" s="196">
        <f>N14</f>
        <v>8</v>
      </c>
      <c r="O16" s="195">
        <f>O14</f>
        <v>40</v>
      </c>
      <c r="P16" s="202">
        <f>N16*O16</f>
        <v>320</v>
      </c>
      <c r="Q16" s="213">
        <f>Q14</f>
        <v>50</v>
      </c>
      <c r="R16" s="203">
        <f>Q16*N16</f>
        <v>400</v>
      </c>
      <c r="S16" s="204">
        <f>L16+P16+R16</f>
        <v>1270</v>
      </c>
      <c r="T16" s="205">
        <f>H16*S16</f>
        <v>12700</v>
      </c>
      <c r="U16" s="198">
        <f>T16</f>
        <v>12700</v>
      </c>
      <c r="W16" s="283">
        <f>E16*N16*D16</f>
        <v>240</v>
      </c>
      <c r="X16" s="285">
        <f>'2ndYearTravelAccommMealsLabour'!V11+'3rdYearTravelAccommMealsLabour'!V11+'1stYearTravelAccommMealsLabour'!W16</f>
        <v>370</v>
      </c>
    </row>
    <row r="17" spans="1:28" ht="6" customHeight="1" x14ac:dyDescent="0.3">
      <c r="B17" s="35"/>
      <c r="C17" s="35"/>
      <c r="D17" s="35"/>
      <c r="E17" s="74"/>
      <c r="F17" s="74"/>
      <c r="G17" s="74"/>
      <c r="H17" s="74"/>
      <c r="I17" s="74"/>
      <c r="J17" s="74"/>
      <c r="K17" s="74"/>
      <c r="L17" s="194"/>
      <c r="M17" s="194"/>
      <c r="N17" s="194"/>
    </row>
    <row r="18" spans="1:28" x14ac:dyDescent="0.3">
      <c r="A18" s="206" t="s">
        <v>97</v>
      </c>
      <c r="B18" s="207">
        <v>1</v>
      </c>
      <c r="C18" s="236">
        <v>3</v>
      </c>
      <c r="D18" s="231">
        <v>3</v>
      </c>
      <c r="E18" s="180">
        <v>10</v>
      </c>
      <c r="F18" s="237">
        <v>1</v>
      </c>
      <c r="G18" s="235">
        <v>1</v>
      </c>
      <c r="H18" s="227">
        <v>10</v>
      </c>
      <c r="I18" s="238">
        <f>H18</f>
        <v>10</v>
      </c>
      <c r="J18" s="239">
        <f>H18/I18</f>
        <v>1</v>
      </c>
      <c r="K18" s="291">
        <f>6*51/8</f>
        <v>38.25</v>
      </c>
      <c r="L18" s="194"/>
      <c r="M18" s="194"/>
      <c r="N18" s="194"/>
      <c r="U18" s="296">
        <f>'10_LocalConnectorLabourCost'!M4</f>
        <v>147000</v>
      </c>
      <c r="W18" s="292">
        <f>K18*E18</f>
        <v>382.5</v>
      </c>
      <c r="X18" s="285">
        <f>'2ndYearTravelAccommMealsLabour'!V13+'3rdYearTravelAccommMealsLabour'!V13+'1stYearTravelAccommMealsLabour'!W18</f>
        <v>772.5</v>
      </c>
      <c r="Y18" s="306">
        <f>X18*8</f>
        <v>6180</v>
      </c>
      <c r="Z18" s="294">
        <v>70</v>
      </c>
      <c r="AA18" s="1">
        <f>Y18*Z18</f>
        <v>432600</v>
      </c>
    </row>
    <row r="19" spans="1:28" ht="4.5" customHeight="1" x14ac:dyDescent="0.3">
      <c r="A19" s="206"/>
      <c r="B19" s="207"/>
      <c r="C19" s="236"/>
      <c r="D19" s="231"/>
      <c r="E19" s="180"/>
      <c r="F19" s="237"/>
      <c r="G19" s="235"/>
      <c r="H19" s="227"/>
      <c r="I19" s="238"/>
      <c r="J19" s="239"/>
      <c r="K19" s="291"/>
      <c r="L19" s="194"/>
      <c r="M19" s="194"/>
      <c r="N19" s="194"/>
      <c r="W19" s="292"/>
      <c r="X19" s="285"/>
    </row>
    <row r="20" spans="1:28" x14ac:dyDescent="0.3">
      <c r="A20" s="206" t="s">
        <v>234</v>
      </c>
      <c r="B20" s="207"/>
      <c r="C20" s="236"/>
      <c r="D20" s="231"/>
      <c r="E20" s="180"/>
      <c r="F20" s="237"/>
      <c r="G20" s="235"/>
      <c r="H20" s="227"/>
      <c r="I20" s="238"/>
      <c r="J20" s="239"/>
      <c r="K20" s="291"/>
      <c r="L20" s="194"/>
      <c r="M20" s="194"/>
      <c r="N20" s="194"/>
      <c r="W20" s="292"/>
      <c r="X20" s="285">
        <f>'2ndYearTravelAccommMealsLabour'!V19</f>
        <v>60</v>
      </c>
      <c r="AA20" s="119">
        <f>'10_LocalConnectorLabourCost'!M8</f>
        <v>294000</v>
      </c>
    </row>
    <row r="21" spans="1:28" ht="3.75" customHeight="1" x14ac:dyDescent="0.3">
      <c r="A21" s="206"/>
      <c r="B21" s="207"/>
      <c r="C21" s="236"/>
      <c r="D21" s="231"/>
      <c r="E21" s="180"/>
      <c r="F21" s="237"/>
      <c r="G21" s="235"/>
      <c r="H21" s="227"/>
      <c r="I21" s="238"/>
      <c r="J21" s="239"/>
      <c r="K21" s="291"/>
      <c r="L21" s="194"/>
      <c r="M21" s="194"/>
      <c r="N21" s="194"/>
      <c r="W21" s="292"/>
      <c r="X21" s="285"/>
    </row>
    <row r="22" spans="1:28" x14ac:dyDescent="0.3">
      <c r="A22" s="170" t="s">
        <v>165</v>
      </c>
      <c r="B22" s="207"/>
      <c r="C22" s="236"/>
      <c r="D22" s="231"/>
      <c r="E22" s="180"/>
      <c r="F22" s="237"/>
      <c r="G22" s="235"/>
      <c r="H22" s="227"/>
      <c r="I22" s="238"/>
      <c r="J22" s="239"/>
      <c r="K22" s="291"/>
      <c r="L22" s="194"/>
      <c r="M22" s="194"/>
      <c r="N22" s="194"/>
      <c r="W22" s="292"/>
      <c r="X22" s="285">
        <f>'2ndYearTravelAccommMealsLabour'!V21</f>
        <v>30</v>
      </c>
      <c r="Z22" s="107" t="s">
        <v>118</v>
      </c>
      <c r="AA22" s="1">
        <f>AA18-AA20</f>
        <v>138600</v>
      </c>
      <c r="AB22" t="s">
        <v>246</v>
      </c>
    </row>
    <row r="23" spans="1:28" x14ac:dyDescent="0.3">
      <c r="A23" s="102" t="s">
        <v>290</v>
      </c>
      <c r="B23" s="207">
        <f>B18</f>
        <v>1</v>
      </c>
      <c r="C23" s="236">
        <f>B23</f>
        <v>1</v>
      </c>
      <c r="D23" s="231"/>
      <c r="E23" s="180"/>
      <c r="F23" s="237"/>
      <c r="G23" s="235"/>
      <c r="H23" s="227"/>
      <c r="I23" s="238"/>
      <c r="J23" s="239"/>
      <c r="K23" s="291"/>
      <c r="L23" s="194"/>
      <c r="M23" s="194"/>
      <c r="N23" s="194"/>
      <c r="W23" s="292"/>
      <c r="X23" s="285">
        <f>'3rdYearTravelAccommMealsLabour'!V17</f>
        <v>160</v>
      </c>
      <c r="Z23" s="107"/>
      <c r="AA23" s="1"/>
    </row>
    <row r="24" spans="1:28" ht="3.75" customHeight="1" x14ac:dyDescent="0.3">
      <c r="B24" s="35"/>
      <c r="C24" s="35"/>
      <c r="D24" s="35"/>
      <c r="E24" s="74"/>
      <c r="F24" s="74"/>
      <c r="G24" s="74"/>
      <c r="H24" s="74"/>
      <c r="I24" s="74"/>
      <c r="J24" s="74"/>
      <c r="K24" s="74"/>
      <c r="L24" s="194"/>
      <c r="M24" s="194"/>
      <c r="N24" s="194"/>
    </row>
    <row r="25" spans="1:28" x14ac:dyDescent="0.3">
      <c r="B25" s="35"/>
      <c r="C25" s="35"/>
      <c r="D25" s="35"/>
      <c r="E25" s="74"/>
      <c r="F25" s="74"/>
      <c r="G25" s="74"/>
      <c r="H25" s="74"/>
      <c r="I25" s="74"/>
      <c r="J25" s="74"/>
      <c r="K25" s="74"/>
      <c r="L25" s="194"/>
      <c r="M25" s="194"/>
      <c r="N25" s="194"/>
      <c r="U25" s="299">
        <f>SUM(U2:U18)</f>
        <v>438320</v>
      </c>
      <c r="W25" s="284">
        <f>SUM(W4:W24)</f>
        <v>1058.5</v>
      </c>
      <c r="X25" s="326">
        <f>SUM(X2:X24)</f>
        <v>2854.5</v>
      </c>
      <c r="Y25">
        <v>120</v>
      </c>
      <c r="Z25" s="307">
        <f>X25/Y25</f>
        <v>23.787500000000001</v>
      </c>
    </row>
    <row r="26" spans="1:28" x14ac:dyDescent="0.3">
      <c r="B26" s="35"/>
      <c r="C26" s="35"/>
      <c r="D26" s="35"/>
      <c r="E26" s="74"/>
      <c r="F26" s="74"/>
      <c r="G26" s="74"/>
      <c r="H26" s="74"/>
      <c r="I26" s="74"/>
      <c r="J26" s="74"/>
      <c r="K26" s="74"/>
      <c r="L26" s="194"/>
      <c r="M26" s="194"/>
      <c r="N26" s="194"/>
    </row>
    <row r="27" spans="1:28" x14ac:dyDescent="0.3">
      <c r="W27" s="326">
        <f>'2ndYearTravelAccommMealsLabour'!V23+'3rdYearTravelAccommMealsLabour'!V19+'1stYearTravelAccommMealsLabour'!W25</f>
        <v>2854.5</v>
      </c>
      <c r="X27" s="293">
        <f>W27-X25</f>
        <v>0</v>
      </c>
    </row>
    <row r="28" spans="1:28" x14ac:dyDescent="0.3">
      <c r="Y28">
        <v>2855</v>
      </c>
    </row>
    <row r="29" spans="1:28" x14ac:dyDescent="0.3">
      <c r="U29" s="300">
        <f>U25</f>
        <v>438320</v>
      </c>
      <c r="W29" s="64" t="s">
        <v>248</v>
      </c>
      <c r="Y29" s="65">
        <v>2785</v>
      </c>
    </row>
    <row r="30" spans="1:28" x14ac:dyDescent="0.3">
      <c r="H30" s="272"/>
      <c r="U30" s="301">
        <f>'2ndYearTravelAccommMealsLabour'!T23</f>
        <v>312580</v>
      </c>
      <c r="W30" s="64" t="s">
        <v>248</v>
      </c>
      <c r="Y30">
        <f>Y28-Y29</f>
        <v>70</v>
      </c>
    </row>
    <row r="31" spans="1:28" x14ac:dyDescent="0.3">
      <c r="U31" s="303">
        <f>'3rdYearTravelAccommMealsLabour'!T19</f>
        <v>290740</v>
      </c>
      <c r="W31" s="64" t="s">
        <v>248</v>
      </c>
    </row>
    <row r="32" spans="1:28" x14ac:dyDescent="0.3">
      <c r="U32" s="317">
        <f>SUM(U29:U31)</f>
        <v>1041640</v>
      </c>
      <c r="V32" s="82"/>
      <c r="W32" s="318" t="s">
        <v>248</v>
      </c>
    </row>
    <row r="34" spans="24:24" x14ac:dyDescent="0.3">
      <c r="X34" s="325"/>
    </row>
  </sheetData>
  <hyperlinks>
    <hyperlink ref="A2" r:id="rId1" display="Six_Regional_School_Teams_Co-ordinators.htm"/>
    <hyperlink ref="A1" r:id="rId2" display="../Mentors/Cross_Section_Of_Mentors.htm"/>
    <hyperlink ref="A6" r:id="rId3" display="../Mentors/c_TeamCoach/Team_Sporting_Coaches.htm"/>
    <hyperlink ref="A10" r:id="rId4" display="../Mentors/b_Role_Models/Sporting_Role_Models.htm"/>
    <hyperlink ref="A4" r:id="rId5" display="../Students/Year_9_Applicant_Interviewer.htm"/>
    <hyperlink ref="A12" r:id="rId6" display="../Core/Panel_Of_Three_Judges.htm"/>
    <hyperlink ref="A14" r:id="rId7" display="../Students/Accepted_Year_9_School_Students.htm"/>
    <hyperlink ref="A16" r:id="rId8" display="../Mentors/Local_Connectors.htm"/>
    <hyperlink ref="A18" r:id="rId9" display="../Mentors/Local_Connectors.htm"/>
    <hyperlink ref="A20" r:id="rId10" display="../Mentors/e_Guardians/Life_Skills_Guardians.htm"/>
    <hyperlink ref="A22" r:id="rId11" display="../Mentors/b_Role_Models/Sporting_Role_Models.htm"/>
    <hyperlink ref="A8" r:id="rId12" display="../Mentors/c_TeamCoach/YoungerCorpSponsorSportsEmployees.htm"/>
    <hyperlink ref="A23" location="'20 Work Experience flight costs'!A1" display="Work Experience Providers"/>
  </hyperlinks>
  <pageMargins left="0.7" right="0.7" top="0.75" bottom="0.75" header="0.3" footer="0.3"/>
  <pageSetup paperSize="9" orientation="portrait" horizontalDpi="4294967293" verticalDpi="0" r:id="rId1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topLeftCell="H1" workbookViewId="0">
      <selection activeCell="A15" sqref="A15"/>
    </sheetView>
  </sheetViews>
  <sheetFormatPr defaultRowHeight="16.5" x14ac:dyDescent="0.3"/>
  <cols>
    <col min="1" max="1" width="27.42578125" style="149" customWidth="1"/>
    <col min="2" max="2" width="7.7109375" customWidth="1"/>
    <col min="3" max="3" width="8.7109375" customWidth="1"/>
    <col min="4" max="4" width="12.140625" customWidth="1"/>
    <col min="5" max="5" width="9.42578125" style="70" customWidth="1"/>
    <col min="6" max="6" width="15" style="70" customWidth="1"/>
    <col min="7" max="7" width="8.85546875" style="70" customWidth="1"/>
    <col min="8" max="8" width="11.5703125" style="70" customWidth="1"/>
    <col min="9" max="9" width="13.7109375" style="70" customWidth="1"/>
    <col min="10" max="10" width="21.42578125" style="70" customWidth="1"/>
    <col min="11" max="11" width="15.7109375" style="70" customWidth="1"/>
    <col min="12" max="12" width="16.7109375" style="37" customWidth="1"/>
    <col min="13" max="13" width="10" style="37" customWidth="1"/>
    <col min="14" max="14" width="19.28515625" style="35" customWidth="1"/>
    <col min="15" max="15" width="14.5703125" style="35" customWidth="1"/>
    <col min="16" max="16" width="10.85546875" style="35" customWidth="1"/>
    <col min="17" max="17" width="13.42578125" style="35" customWidth="1"/>
    <col min="18" max="18" width="15.5703125" style="35" customWidth="1"/>
    <col min="19" max="19" width="21.140625" style="35" customWidth="1"/>
    <col min="20" max="20" width="44.140625" style="35" customWidth="1"/>
    <col min="21" max="21" width="7.85546875" style="35" customWidth="1"/>
    <col min="22" max="22" width="16.5703125" customWidth="1"/>
  </cols>
  <sheetData>
    <row r="1" spans="1:22" ht="84.75" customHeight="1" x14ac:dyDescent="0.3">
      <c r="A1" s="172" t="s">
        <v>163</v>
      </c>
      <c r="B1" s="173" t="s">
        <v>167</v>
      </c>
      <c r="C1" s="173" t="s">
        <v>168</v>
      </c>
      <c r="D1" s="173" t="s">
        <v>206</v>
      </c>
      <c r="E1" s="174" t="s">
        <v>166</v>
      </c>
      <c r="F1" s="174" t="s">
        <v>171</v>
      </c>
      <c r="G1" s="174" t="s">
        <v>190</v>
      </c>
      <c r="H1" s="174" t="s">
        <v>191</v>
      </c>
      <c r="I1" s="174" t="s">
        <v>192</v>
      </c>
      <c r="J1" s="174" t="s">
        <v>193</v>
      </c>
      <c r="K1" s="174" t="s">
        <v>237</v>
      </c>
      <c r="L1" s="254" t="s">
        <v>207</v>
      </c>
      <c r="M1" s="254" t="s">
        <v>176</v>
      </c>
      <c r="N1" s="174" t="s">
        <v>180</v>
      </c>
      <c r="O1" s="174" t="s">
        <v>179</v>
      </c>
      <c r="P1" s="174" t="s">
        <v>177</v>
      </c>
      <c r="Q1" s="174" t="s">
        <v>181</v>
      </c>
      <c r="R1" s="174" t="s">
        <v>182</v>
      </c>
      <c r="S1" s="174" t="s">
        <v>183</v>
      </c>
      <c r="T1" s="174" t="s">
        <v>189</v>
      </c>
      <c r="V1" s="174" t="s">
        <v>232</v>
      </c>
    </row>
    <row r="2" spans="1:22" ht="6" customHeight="1" x14ac:dyDescent="0.3">
      <c r="B2" s="35"/>
      <c r="C2" s="35"/>
      <c r="D2" s="35"/>
      <c r="E2" s="74"/>
      <c r="F2" s="74"/>
      <c r="G2" s="74"/>
      <c r="H2" s="74"/>
      <c r="I2" s="74"/>
      <c r="J2" s="74"/>
      <c r="K2" s="74"/>
      <c r="L2" s="194"/>
      <c r="M2" s="194"/>
      <c r="P2" s="194"/>
    </row>
    <row r="3" spans="1:22" s="219" customFormat="1" x14ac:dyDescent="0.2">
      <c r="A3" s="206" t="s">
        <v>188</v>
      </c>
      <c r="B3" s="207">
        <v>1</v>
      </c>
      <c r="C3" s="176">
        <v>1</v>
      </c>
      <c r="D3" s="243">
        <v>2</v>
      </c>
      <c r="E3" s="180">
        <v>10</v>
      </c>
      <c r="F3" s="242">
        <v>2</v>
      </c>
      <c r="G3" s="185">
        <v>10</v>
      </c>
      <c r="H3" s="227">
        <f>F3*G3</f>
        <v>20</v>
      </c>
      <c r="I3" s="242">
        <v>4</v>
      </c>
      <c r="J3" s="245">
        <f>H3/I3</f>
        <v>5</v>
      </c>
      <c r="K3" s="245"/>
      <c r="L3" s="265">
        <v>550</v>
      </c>
      <c r="M3" s="210">
        <v>4</v>
      </c>
      <c r="N3" s="211">
        <v>100</v>
      </c>
      <c r="O3" s="212">
        <f>M3*N3</f>
        <v>400</v>
      </c>
      <c r="P3" s="213">
        <v>50</v>
      </c>
      <c r="Q3" s="214">
        <f>P3*M3</f>
        <v>200</v>
      </c>
      <c r="R3" s="215">
        <f>L3+O3+Q3</f>
        <v>1150</v>
      </c>
      <c r="S3" s="216">
        <f>F3*R3</f>
        <v>2300</v>
      </c>
      <c r="T3" s="221">
        <f>S3*G3</f>
        <v>23000</v>
      </c>
      <c r="U3" s="218"/>
      <c r="V3" s="283">
        <f>E3*F3*(M3-1)</f>
        <v>60</v>
      </c>
    </row>
    <row r="4" spans="1:22" ht="5.25" customHeight="1" x14ac:dyDescent="0.3">
      <c r="B4" s="35"/>
      <c r="C4" s="74"/>
      <c r="D4" s="74"/>
      <c r="E4" s="74"/>
      <c r="F4" s="74"/>
      <c r="G4" s="74"/>
      <c r="H4" s="74"/>
      <c r="I4" s="74"/>
      <c r="J4" s="74"/>
      <c r="K4" s="74"/>
      <c r="L4" s="194"/>
      <c r="M4" s="194"/>
      <c r="P4" s="194"/>
    </row>
    <row r="5" spans="1:22" s="192" customFormat="1" x14ac:dyDescent="0.3">
      <c r="A5" s="170" t="s">
        <v>165</v>
      </c>
      <c r="B5" s="182">
        <v>1</v>
      </c>
      <c r="C5" s="177">
        <v>3</v>
      </c>
      <c r="D5" s="244">
        <v>2</v>
      </c>
      <c r="E5" s="199">
        <v>10</v>
      </c>
      <c r="F5" s="222">
        <v>1</v>
      </c>
      <c r="G5" s="200">
        <v>10</v>
      </c>
      <c r="H5" s="228">
        <f>F5*G5</f>
        <v>10</v>
      </c>
      <c r="I5" s="246">
        <v>2</v>
      </c>
      <c r="J5" s="223">
        <f>H5/I5</f>
        <v>5</v>
      </c>
      <c r="K5" s="223"/>
      <c r="L5" s="266">
        <v>550</v>
      </c>
      <c r="M5" s="196">
        <v>4</v>
      </c>
      <c r="N5" s="201">
        <f>N3</f>
        <v>100</v>
      </c>
      <c r="O5" s="202">
        <f>M5*N5</f>
        <v>400</v>
      </c>
      <c r="P5" s="197">
        <f>P3</f>
        <v>50</v>
      </c>
      <c r="Q5" s="203">
        <f>P5*M5</f>
        <v>200</v>
      </c>
      <c r="R5" s="204">
        <f>L5+O5+Q5</f>
        <v>1150</v>
      </c>
      <c r="S5" s="205">
        <f>F5*R5</f>
        <v>1150</v>
      </c>
      <c r="T5" s="224">
        <f>S5*G5</f>
        <v>11500</v>
      </c>
      <c r="U5" s="193"/>
      <c r="V5" s="283">
        <f>E5*F5*(M5-1)</f>
        <v>30</v>
      </c>
    </row>
    <row r="6" spans="1:22" ht="5.25" customHeight="1" x14ac:dyDescent="0.3">
      <c r="B6" s="35"/>
      <c r="C6" s="35"/>
      <c r="D6" s="35"/>
      <c r="E6" s="74"/>
      <c r="F6" s="74"/>
      <c r="G6" s="74"/>
      <c r="H6" s="74"/>
      <c r="I6" s="74"/>
      <c r="J6" s="74"/>
      <c r="K6" s="74"/>
      <c r="L6" s="194"/>
      <c r="M6" s="194"/>
    </row>
    <row r="7" spans="1:22" x14ac:dyDescent="0.3">
      <c r="A7" s="170" t="s">
        <v>184</v>
      </c>
      <c r="B7" s="182">
        <v>1</v>
      </c>
      <c r="C7" s="177">
        <v>3</v>
      </c>
      <c r="D7" s="243">
        <v>2</v>
      </c>
      <c r="E7" s="180">
        <v>10</v>
      </c>
      <c r="F7" s="225">
        <v>3</v>
      </c>
      <c r="G7" s="226">
        <v>2</v>
      </c>
      <c r="H7" s="229">
        <f>F7*G7</f>
        <v>6</v>
      </c>
      <c r="I7" s="225">
        <f>F7</f>
        <v>3</v>
      </c>
      <c r="J7" s="230">
        <f>G7</f>
        <v>2</v>
      </c>
      <c r="K7" s="230"/>
      <c r="L7" s="266">
        <v>550</v>
      </c>
      <c r="M7" s="196">
        <v>7</v>
      </c>
      <c r="N7" s="195">
        <f>N5</f>
        <v>100</v>
      </c>
      <c r="O7" s="202">
        <f>M7*N7</f>
        <v>700</v>
      </c>
      <c r="P7" s="213">
        <f>P5</f>
        <v>50</v>
      </c>
      <c r="Q7" s="203">
        <f>P7*M7</f>
        <v>350</v>
      </c>
      <c r="R7" s="204">
        <f>L7+O7+Q7</f>
        <v>1600</v>
      </c>
      <c r="S7" s="205">
        <f>F7*R7</f>
        <v>4800</v>
      </c>
      <c r="T7" s="232">
        <f>S7*G7</f>
        <v>9600</v>
      </c>
      <c r="U7" s="253" t="s">
        <v>48</v>
      </c>
      <c r="V7" s="283">
        <f>D7*F7*(M7-1)</f>
        <v>36</v>
      </c>
    </row>
    <row r="8" spans="1:22" s="251" customFormat="1" ht="6" customHeight="1" x14ac:dyDescent="0.3">
      <c r="A8" s="247"/>
      <c r="B8" s="248"/>
      <c r="C8" s="248"/>
      <c r="D8" s="248"/>
      <c r="E8" s="249"/>
      <c r="F8" s="249"/>
      <c r="G8" s="249"/>
      <c r="H8" s="249"/>
      <c r="I8" s="249"/>
      <c r="J8" s="249"/>
      <c r="K8" s="249"/>
      <c r="L8" s="250"/>
      <c r="M8" s="250"/>
      <c r="N8" s="248"/>
      <c r="O8" s="248"/>
      <c r="P8" s="248"/>
      <c r="Q8" s="248"/>
      <c r="R8" s="248"/>
      <c r="S8" s="248"/>
      <c r="T8" s="248"/>
      <c r="U8" s="248"/>
    </row>
    <row r="9" spans="1:22" x14ac:dyDescent="0.3">
      <c r="A9" s="206" t="s">
        <v>186</v>
      </c>
      <c r="B9" s="233">
        <v>4</v>
      </c>
      <c r="C9" s="234">
        <v>4</v>
      </c>
      <c r="D9" s="243">
        <v>2</v>
      </c>
      <c r="E9" s="180">
        <v>10</v>
      </c>
      <c r="F9" s="240">
        <v>60</v>
      </c>
      <c r="G9" s="235">
        <v>1</v>
      </c>
      <c r="H9" s="227">
        <v>120</v>
      </c>
      <c r="I9" s="240">
        <f>H9</f>
        <v>120</v>
      </c>
      <c r="J9" s="241">
        <f>G9</f>
        <v>1</v>
      </c>
      <c r="K9" s="241"/>
      <c r="L9" s="266">
        <v>550</v>
      </c>
      <c r="M9" s="196">
        <f>M7</f>
        <v>7</v>
      </c>
      <c r="N9" s="195">
        <f>N7*0.4</f>
        <v>40</v>
      </c>
      <c r="O9" s="202">
        <f>M9*N9</f>
        <v>280</v>
      </c>
      <c r="P9" s="213">
        <f>P7</f>
        <v>50</v>
      </c>
      <c r="Q9" s="203">
        <f>P9*M9</f>
        <v>350</v>
      </c>
      <c r="R9" s="204">
        <f>L9+O9+Q9</f>
        <v>1180</v>
      </c>
      <c r="S9" s="205">
        <f>H9*R9</f>
        <v>141600</v>
      </c>
      <c r="T9" s="198">
        <f>S9</f>
        <v>141600</v>
      </c>
      <c r="V9" s="283" t="s">
        <v>48</v>
      </c>
    </row>
    <row r="10" spans="1:22" ht="6" customHeight="1" x14ac:dyDescent="0.3">
      <c r="B10" s="35"/>
      <c r="C10" s="35"/>
      <c r="D10" s="74"/>
      <c r="E10" s="74"/>
      <c r="F10" s="74"/>
      <c r="G10" s="74"/>
      <c r="H10" s="74"/>
      <c r="I10" s="74"/>
      <c r="J10" s="74"/>
      <c r="K10" s="74"/>
      <c r="L10" s="194"/>
      <c r="M10" s="194"/>
    </row>
    <row r="11" spans="1:22" x14ac:dyDescent="0.3">
      <c r="A11" s="206" t="s">
        <v>97</v>
      </c>
      <c r="B11" s="207">
        <v>1</v>
      </c>
      <c r="C11" s="236">
        <v>3</v>
      </c>
      <c r="D11" s="243">
        <v>1</v>
      </c>
      <c r="E11" s="180">
        <v>10</v>
      </c>
      <c r="F11" s="237">
        <v>5</v>
      </c>
      <c r="G11" s="235">
        <v>1</v>
      </c>
      <c r="H11" s="227">
        <v>10</v>
      </c>
      <c r="I11" s="238">
        <f>H11</f>
        <v>10</v>
      </c>
      <c r="J11" s="239">
        <f>H11/I11</f>
        <v>1</v>
      </c>
      <c r="K11" s="239"/>
      <c r="L11" s="266">
        <v>550</v>
      </c>
      <c r="M11" s="196">
        <f>M9</f>
        <v>7</v>
      </c>
      <c r="N11" s="195">
        <f>N9</f>
        <v>40</v>
      </c>
      <c r="O11" s="202">
        <f>M11*N11</f>
        <v>280</v>
      </c>
      <c r="P11" s="213">
        <f>P9</f>
        <v>50</v>
      </c>
      <c r="Q11" s="203">
        <f>P11*M11</f>
        <v>350</v>
      </c>
      <c r="R11" s="204">
        <f>L11+O11+Q11</f>
        <v>1180</v>
      </c>
      <c r="S11" s="205">
        <f>H11*R11</f>
        <v>11800</v>
      </c>
      <c r="T11" s="198">
        <f>S11</f>
        <v>11800</v>
      </c>
      <c r="V11" s="283">
        <f>E11*D11*(M11)</f>
        <v>70</v>
      </c>
    </row>
    <row r="12" spans="1:22" ht="6" customHeight="1" x14ac:dyDescent="0.3">
      <c r="A12" s="206"/>
      <c r="B12" s="207"/>
      <c r="C12" s="236"/>
      <c r="D12" s="243"/>
      <c r="E12" s="180"/>
      <c r="F12" s="237"/>
      <c r="G12" s="235"/>
      <c r="H12" s="227"/>
      <c r="I12" s="238"/>
      <c r="J12" s="239"/>
      <c r="K12" s="239"/>
      <c r="L12" s="266"/>
      <c r="M12" s="196"/>
      <c r="N12" s="195"/>
      <c r="O12" s="202"/>
      <c r="P12" s="213"/>
      <c r="Q12" s="203"/>
      <c r="R12" s="204"/>
      <c r="S12" s="205"/>
      <c r="T12" s="198"/>
      <c r="V12" s="283"/>
    </row>
    <row r="13" spans="1:22" x14ac:dyDescent="0.3">
      <c r="A13" s="206" t="s">
        <v>97</v>
      </c>
      <c r="B13" s="207">
        <v>1</v>
      </c>
      <c r="C13" s="236">
        <v>3</v>
      </c>
      <c r="D13" s="243">
        <v>1</v>
      </c>
      <c r="E13" s="180">
        <v>10</v>
      </c>
      <c r="F13" s="237">
        <v>1</v>
      </c>
      <c r="G13" s="235">
        <v>1</v>
      </c>
      <c r="H13" s="227">
        <v>10</v>
      </c>
      <c r="I13" s="238">
        <f>H13</f>
        <v>10</v>
      </c>
      <c r="J13" s="239">
        <f>H13/I13</f>
        <v>1</v>
      </c>
      <c r="K13" s="291">
        <f>3*52/8</f>
        <v>19.5</v>
      </c>
      <c r="L13" s="266"/>
      <c r="M13" s="196"/>
      <c r="N13" s="195"/>
      <c r="O13" s="202"/>
      <c r="P13" s="213"/>
      <c r="Q13" s="203"/>
      <c r="R13" s="204"/>
      <c r="S13" s="205"/>
      <c r="T13" s="297">
        <f>'10_LocalConnectorLabourCost'!M5</f>
        <v>73500</v>
      </c>
      <c r="V13" s="292">
        <f>E13*D13*K13</f>
        <v>195</v>
      </c>
    </row>
    <row r="14" spans="1:22" ht="5.25" customHeight="1" x14ac:dyDescent="0.3">
      <c r="B14" s="35"/>
      <c r="C14" s="35"/>
      <c r="D14" s="35"/>
      <c r="E14" s="74"/>
      <c r="F14" s="74"/>
      <c r="G14" s="74"/>
      <c r="H14" s="74"/>
      <c r="I14" s="74"/>
      <c r="J14" s="74"/>
      <c r="K14" s="74"/>
      <c r="L14" s="194"/>
      <c r="M14" s="194"/>
    </row>
    <row r="15" spans="1:22" ht="15" customHeight="1" x14ac:dyDescent="0.3">
      <c r="A15" s="102" t="s">
        <v>256</v>
      </c>
      <c r="B15" s="207">
        <v>1</v>
      </c>
      <c r="C15" s="236">
        <v>3</v>
      </c>
      <c r="D15" s="243">
        <v>1</v>
      </c>
      <c r="E15" s="180">
        <v>10</v>
      </c>
      <c r="F15" s="313">
        <v>3</v>
      </c>
      <c r="G15" s="235">
        <v>1</v>
      </c>
      <c r="H15" s="229">
        <f>F15*G15*2</f>
        <v>6</v>
      </c>
      <c r="I15" s="313">
        <v>6</v>
      </c>
      <c r="J15" s="314">
        <f>H15/I15</f>
        <v>1</v>
      </c>
      <c r="K15" s="74"/>
      <c r="L15" s="266">
        <f>L11</f>
        <v>550</v>
      </c>
      <c r="M15" s="196">
        <f>M11</f>
        <v>7</v>
      </c>
      <c r="N15" s="195">
        <f>N11</f>
        <v>40</v>
      </c>
      <c r="O15" s="202">
        <f>M15*N15</f>
        <v>280</v>
      </c>
      <c r="P15" s="213">
        <f>P11</f>
        <v>50</v>
      </c>
      <c r="Q15" s="203">
        <f>P15*M15</f>
        <v>350</v>
      </c>
      <c r="R15" s="204">
        <f>L15+O15+Q15</f>
        <v>1180</v>
      </c>
      <c r="S15" s="205">
        <f>H15*R15</f>
        <v>7080</v>
      </c>
      <c r="T15" s="198">
        <f>S15</f>
        <v>7080</v>
      </c>
      <c r="V15" s="283">
        <f>E15*D15*(M15)*H15</f>
        <v>420</v>
      </c>
    </row>
    <row r="16" spans="1:22" ht="5.25" customHeight="1" x14ac:dyDescent="0.3">
      <c r="B16" s="35"/>
      <c r="C16" s="35"/>
      <c r="D16" s="35"/>
      <c r="E16" s="74"/>
      <c r="F16" s="74"/>
      <c r="G16" s="74"/>
      <c r="H16" s="74"/>
      <c r="I16" s="74"/>
      <c r="J16" s="74"/>
      <c r="K16" s="74"/>
      <c r="L16" s="194"/>
      <c r="M16" s="194"/>
    </row>
    <row r="17" spans="1:22" ht="48.75" customHeight="1" x14ac:dyDescent="0.3">
      <c r="A17" s="73" t="str">
        <f>D17</f>
        <v>Mentoring Support Messages</v>
      </c>
      <c r="B17" s="35"/>
      <c r="C17" s="35"/>
      <c r="D17" s="75" t="s">
        <v>235</v>
      </c>
      <c r="E17" s="74"/>
      <c r="F17" s="74"/>
      <c r="G17" s="74"/>
      <c r="H17" s="74"/>
      <c r="I17" s="74"/>
      <c r="J17" s="75" t="str">
        <f>D17</f>
        <v>Mentoring Support Messages</v>
      </c>
      <c r="K17" s="75"/>
      <c r="L17" s="194"/>
      <c r="M17" s="194"/>
    </row>
    <row r="18" spans="1:22" ht="6" customHeight="1" x14ac:dyDescent="0.3">
      <c r="B18" s="35"/>
      <c r="C18" s="35"/>
      <c r="D18" s="35"/>
      <c r="E18" s="74"/>
      <c r="F18" s="74"/>
      <c r="G18" s="74"/>
      <c r="H18" s="74"/>
      <c r="I18" s="74"/>
      <c r="J18" s="74"/>
      <c r="K18" s="74"/>
      <c r="L18" s="194"/>
      <c r="M18" s="194"/>
    </row>
    <row r="19" spans="1:22" x14ac:dyDescent="0.3">
      <c r="A19" s="206" t="s">
        <v>234</v>
      </c>
      <c r="B19" s="207">
        <v>1</v>
      </c>
      <c r="C19" s="176">
        <v>1</v>
      </c>
      <c r="D19" s="35"/>
      <c r="E19" s="180">
        <f>E11</f>
        <v>10</v>
      </c>
      <c r="F19" s="288">
        <v>2</v>
      </c>
      <c r="G19" s="185">
        <v>10</v>
      </c>
      <c r="H19" s="227">
        <f>F19*G19</f>
        <v>20</v>
      </c>
      <c r="I19" s="288">
        <v>4</v>
      </c>
      <c r="J19" s="289">
        <f>H19/I19</f>
        <v>5</v>
      </c>
      <c r="K19" s="289"/>
      <c r="L19" s="266">
        <v>550</v>
      </c>
      <c r="M19" s="196">
        <v>4</v>
      </c>
      <c r="N19" s="211">
        <v>100</v>
      </c>
      <c r="O19" s="212">
        <f>M19*N19</f>
        <v>400</v>
      </c>
      <c r="P19" s="213">
        <v>50</v>
      </c>
      <c r="Q19" s="214">
        <f>P19*M19</f>
        <v>200</v>
      </c>
      <c r="R19" s="215">
        <f>L19+O19+Q19</f>
        <v>1150</v>
      </c>
      <c r="S19" s="205">
        <f>F19*R19</f>
        <v>2300</v>
      </c>
      <c r="T19" s="290">
        <f>S19*G19</f>
        <v>23000</v>
      </c>
      <c r="V19" s="283">
        <f>E19*F19*(M19-1)</f>
        <v>60</v>
      </c>
    </row>
    <row r="20" spans="1:22" ht="6.75" customHeight="1" x14ac:dyDescent="0.3">
      <c r="A20" s="206"/>
      <c r="B20" s="207"/>
      <c r="C20" s="176"/>
      <c r="D20" s="35"/>
      <c r="E20" s="180"/>
      <c r="F20" s="288"/>
      <c r="G20" s="185"/>
      <c r="H20" s="227"/>
      <c r="I20" s="288"/>
      <c r="J20" s="289"/>
      <c r="K20" s="289"/>
      <c r="L20" s="266"/>
      <c r="M20" s="196"/>
      <c r="N20" s="211"/>
      <c r="O20" s="212"/>
      <c r="P20" s="213"/>
      <c r="Q20" s="214"/>
      <c r="R20" s="215"/>
      <c r="S20" s="205"/>
      <c r="T20" s="290"/>
      <c r="V20" s="283"/>
    </row>
    <row r="21" spans="1:22" s="192" customFormat="1" x14ac:dyDescent="0.3">
      <c r="A21" s="170" t="s">
        <v>165</v>
      </c>
      <c r="B21" s="182">
        <v>1</v>
      </c>
      <c r="C21" s="177">
        <v>3</v>
      </c>
      <c r="D21" s="35"/>
      <c r="E21" s="199">
        <v>10</v>
      </c>
      <c r="F21" s="222">
        <v>1</v>
      </c>
      <c r="G21" s="200">
        <v>10</v>
      </c>
      <c r="H21" s="228">
        <f>F21*G21</f>
        <v>10</v>
      </c>
      <c r="I21" s="246">
        <v>2</v>
      </c>
      <c r="J21" s="223">
        <f>H21/I21</f>
        <v>5</v>
      </c>
      <c r="K21" s="223"/>
      <c r="L21" s="266">
        <v>550</v>
      </c>
      <c r="M21" s="196">
        <v>4</v>
      </c>
      <c r="N21" s="211">
        <v>100</v>
      </c>
      <c r="O21" s="202">
        <f>M21*N21</f>
        <v>400</v>
      </c>
      <c r="P21" s="213">
        <v>50</v>
      </c>
      <c r="Q21" s="214">
        <f>P21*M21</f>
        <v>200</v>
      </c>
      <c r="R21" s="204">
        <f>L21+O21+Q21</f>
        <v>1150</v>
      </c>
      <c r="S21" s="205">
        <f>F21*R21</f>
        <v>1150</v>
      </c>
      <c r="T21" s="224">
        <f>S21*G21</f>
        <v>11500</v>
      </c>
      <c r="U21" s="193"/>
      <c r="V21" s="283">
        <f>E21*F21*(M21-1)</f>
        <v>30</v>
      </c>
    </row>
    <row r="22" spans="1:22" s="35" customFormat="1" x14ac:dyDescent="0.3">
      <c r="A22" s="149"/>
      <c r="E22" s="74"/>
      <c r="F22" s="74"/>
      <c r="G22" s="74"/>
      <c r="H22" s="74"/>
      <c r="I22" s="74"/>
      <c r="J22" s="74"/>
      <c r="K22" s="74"/>
      <c r="L22" s="194"/>
      <c r="M22" s="194"/>
    </row>
    <row r="23" spans="1:22" s="35" customFormat="1" x14ac:dyDescent="0.3">
      <c r="A23" s="149"/>
      <c r="E23" s="74"/>
      <c r="F23" s="74"/>
      <c r="G23" s="74"/>
      <c r="H23" s="74"/>
      <c r="I23" s="74"/>
      <c r="J23" s="74"/>
      <c r="K23" s="74"/>
      <c r="L23" s="194"/>
      <c r="M23" s="194"/>
      <c r="T23" s="301">
        <f>SUM(T2:T21)</f>
        <v>312580</v>
      </c>
      <c r="V23" s="285">
        <f>SUM(V3:V21)</f>
        <v>901</v>
      </c>
    </row>
  </sheetData>
  <hyperlinks>
    <hyperlink ref="A1" r:id="rId1" display="../Mentors/Cross_Section_Of_Mentors.htm"/>
    <hyperlink ref="A5" r:id="rId2" display="../Mentors/b_Role_Models/Sporting_Role_Models.htm"/>
    <hyperlink ref="A7" r:id="rId3" display="../Core/Panel_Of_Three_Judges.htm"/>
    <hyperlink ref="A9" r:id="rId4" display="../Students/Accepted_Year_9_School_Students.htm"/>
    <hyperlink ref="A11" r:id="rId5" display="../Mentors/Local_Connectors.htm"/>
    <hyperlink ref="A3" r:id="rId6" display="../3TeamChall/2/Public_Speaking_Instructors.htm"/>
    <hyperlink ref="A19" r:id="rId7" display="../Mentors/e_Guardians/Life_Skills_Guardians.htm"/>
    <hyperlink ref="A21" r:id="rId8" display="../Mentors/b_Role_Models/Sporting_Role_Models.htm"/>
    <hyperlink ref="A13" r:id="rId9" display="../Mentors/Local_Connectors.htm"/>
    <hyperlink ref="A15" r:id="rId10"/>
  </hyperlinks>
  <pageMargins left="0.7" right="0.7" top="0.75" bottom="0.75" header="0.3" footer="0.3"/>
  <pageSetup paperSize="9" orientation="portrait" horizontalDpi="0" verticalDpi="0" r:id="rId1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opLeftCell="K1" workbookViewId="0">
      <selection activeCell="V19" sqref="V19"/>
    </sheetView>
  </sheetViews>
  <sheetFormatPr defaultRowHeight="16.5" x14ac:dyDescent="0.3"/>
  <cols>
    <col min="1" max="1" width="31" style="149" customWidth="1"/>
    <col min="2" max="2" width="7.7109375" customWidth="1"/>
    <col min="3" max="3" width="8.7109375" customWidth="1"/>
    <col min="4" max="4" width="12.140625" customWidth="1"/>
    <col min="5" max="5" width="9.42578125" style="70" customWidth="1"/>
    <col min="6" max="6" width="19.28515625" style="70" customWidth="1"/>
    <col min="7" max="7" width="8.85546875" style="70" customWidth="1"/>
    <col min="8" max="8" width="11.5703125" style="70" customWidth="1"/>
    <col min="9" max="9" width="13.7109375" style="70" customWidth="1"/>
    <col min="10" max="10" width="21.42578125" style="70" customWidth="1"/>
    <col min="11" max="11" width="13.85546875" style="70" customWidth="1"/>
    <col min="12" max="12" width="16.7109375" style="37" customWidth="1"/>
    <col min="13" max="13" width="10" style="37" customWidth="1"/>
    <col min="14" max="14" width="19.28515625" style="35" customWidth="1"/>
    <col min="15" max="15" width="14.5703125" style="35" customWidth="1"/>
    <col min="16" max="16" width="10.85546875" style="35" customWidth="1"/>
    <col min="17" max="17" width="13.42578125" style="35" customWidth="1"/>
    <col min="18" max="18" width="15.5703125" style="35" customWidth="1"/>
    <col min="19" max="19" width="21.140625" style="35" customWidth="1"/>
    <col min="20" max="20" width="41.7109375" style="35" customWidth="1"/>
    <col min="21" max="21" width="6.5703125" style="35" customWidth="1"/>
    <col min="22" max="22" width="16.85546875" customWidth="1"/>
    <col min="23" max="23" width="13.7109375" customWidth="1"/>
  </cols>
  <sheetData>
    <row r="1" spans="1:22" ht="84.75" customHeight="1" x14ac:dyDescent="0.3">
      <c r="A1" s="172" t="s">
        <v>163</v>
      </c>
      <c r="B1" s="173" t="s">
        <v>167</v>
      </c>
      <c r="C1" s="173" t="s">
        <v>168</v>
      </c>
      <c r="D1" s="173" t="s">
        <v>205</v>
      </c>
      <c r="E1" s="174" t="s">
        <v>166</v>
      </c>
      <c r="F1" s="174" t="s">
        <v>171</v>
      </c>
      <c r="G1" s="174" t="s">
        <v>198</v>
      </c>
      <c r="H1" s="174" t="s">
        <v>195</v>
      </c>
      <c r="I1" s="174" t="s">
        <v>196</v>
      </c>
      <c r="J1" s="174" t="s">
        <v>197</v>
      </c>
      <c r="K1" s="174" t="s">
        <v>238</v>
      </c>
      <c r="L1" s="254" t="s">
        <v>174</v>
      </c>
      <c r="M1" s="254" t="s">
        <v>176</v>
      </c>
      <c r="N1" s="174" t="s">
        <v>180</v>
      </c>
      <c r="O1" s="174" t="s">
        <v>179</v>
      </c>
      <c r="P1" s="174" t="s">
        <v>177</v>
      </c>
      <c r="Q1" s="174" t="s">
        <v>181</v>
      </c>
      <c r="R1" s="174" t="s">
        <v>182</v>
      </c>
      <c r="S1" s="174" t="s">
        <v>183</v>
      </c>
      <c r="T1" s="174" t="s">
        <v>199</v>
      </c>
      <c r="V1" s="174" t="s">
        <v>233</v>
      </c>
    </row>
    <row r="2" spans="1:22" ht="6" customHeight="1" x14ac:dyDescent="0.3">
      <c r="B2" s="35"/>
      <c r="C2" s="35"/>
      <c r="D2" s="35"/>
      <c r="E2" s="74"/>
      <c r="F2" s="74"/>
      <c r="G2" s="74"/>
      <c r="H2" s="74"/>
      <c r="I2" s="74"/>
      <c r="J2" s="74"/>
      <c r="K2" s="74"/>
      <c r="L2" s="194"/>
      <c r="M2" s="194"/>
      <c r="P2" s="194"/>
    </row>
    <row r="3" spans="1:22" s="219" customFormat="1" x14ac:dyDescent="0.2">
      <c r="A3" s="206" t="s">
        <v>194</v>
      </c>
      <c r="B3" s="207">
        <v>1</v>
      </c>
      <c r="C3" s="176">
        <v>1</v>
      </c>
      <c r="D3" s="255">
        <v>2</v>
      </c>
      <c r="E3" s="180">
        <v>10</v>
      </c>
      <c r="F3" s="242">
        <v>2</v>
      </c>
      <c r="G3" s="185">
        <v>10</v>
      </c>
      <c r="H3" s="227">
        <f>F3*G3</f>
        <v>20</v>
      </c>
      <c r="I3" s="262">
        <v>4</v>
      </c>
      <c r="J3" s="263">
        <f>H3/I3</f>
        <v>5</v>
      </c>
      <c r="K3" s="263"/>
      <c r="L3" s="209">
        <v>700</v>
      </c>
      <c r="M3" s="210">
        <v>4</v>
      </c>
      <c r="N3" s="211">
        <v>100</v>
      </c>
      <c r="O3" s="212">
        <f>M3*N3</f>
        <v>400</v>
      </c>
      <c r="P3" s="213">
        <v>50</v>
      </c>
      <c r="Q3" s="214">
        <f>P3*M3</f>
        <v>200</v>
      </c>
      <c r="R3" s="215">
        <f>L3+O3+Q3</f>
        <v>1300</v>
      </c>
      <c r="S3" s="216">
        <f>F3*R3</f>
        <v>2600</v>
      </c>
      <c r="T3" s="260">
        <f>S3*G3</f>
        <v>26000</v>
      </c>
      <c r="U3" s="218"/>
      <c r="V3" s="283">
        <f>E3*F3*(M3-1)</f>
        <v>60</v>
      </c>
    </row>
    <row r="4" spans="1:22" ht="5.25" customHeight="1" x14ac:dyDescent="0.3">
      <c r="B4" s="35"/>
      <c r="C4" s="74"/>
      <c r="D4" s="74"/>
      <c r="E4" s="74"/>
      <c r="F4" s="74"/>
      <c r="G4" s="74"/>
      <c r="H4" s="74"/>
      <c r="I4" s="74"/>
      <c r="J4" s="74"/>
      <c r="K4" s="74"/>
      <c r="L4" s="194"/>
      <c r="M4" s="194"/>
      <c r="P4" s="194"/>
    </row>
    <row r="5" spans="1:22" s="192" customFormat="1" x14ac:dyDescent="0.3">
      <c r="A5" s="170" t="s">
        <v>165</v>
      </c>
      <c r="B5" s="182">
        <v>1</v>
      </c>
      <c r="C5" s="177">
        <v>3</v>
      </c>
      <c r="D5" s="256">
        <v>2</v>
      </c>
      <c r="E5" s="199">
        <v>10</v>
      </c>
      <c r="F5" s="222">
        <v>1</v>
      </c>
      <c r="G5" s="200">
        <v>10</v>
      </c>
      <c r="H5" s="228">
        <f>F5*G5</f>
        <v>10</v>
      </c>
      <c r="I5" s="246">
        <v>2</v>
      </c>
      <c r="J5" s="223">
        <f>H5/I5</f>
        <v>5</v>
      </c>
      <c r="K5" s="223"/>
      <c r="L5" s="191">
        <v>700</v>
      </c>
      <c r="M5" s="196">
        <v>4</v>
      </c>
      <c r="N5" s="201">
        <f>N3</f>
        <v>100</v>
      </c>
      <c r="O5" s="202">
        <f>M5*N5</f>
        <v>400</v>
      </c>
      <c r="P5" s="197">
        <f>P3</f>
        <v>50</v>
      </c>
      <c r="Q5" s="203">
        <f>P5*M5</f>
        <v>200</v>
      </c>
      <c r="R5" s="204">
        <f>L5+O5+Q5</f>
        <v>1300</v>
      </c>
      <c r="S5" s="205">
        <f>F5*R5</f>
        <v>1300</v>
      </c>
      <c r="T5" s="224">
        <f>S5*G5</f>
        <v>13000</v>
      </c>
      <c r="U5" s="193"/>
      <c r="V5" s="283">
        <f>E5*F5*(M5-1)</f>
        <v>30</v>
      </c>
    </row>
    <row r="6" spans="1:22" ht="5.25" customHeight="1" x14ac:dyDescent="0.3">
      <c r="B6" s="35"/>
      <c r="C6" s="35"/>
      <c r="D6" s="35"/>
      <c r="E6" s="74"/>
      <c r="F6" s="74"/>
      <c r="G6" s="74"/>
      <c r="H6" s="74"/>
      <c r="I6" s="74"/>
      <c r="J6" s="74"/>
      <c r="K6" s="74"/>
      <c r="L6" s="194"/>
      <c r="M6" s="194"/>
    </row>
    <row r="7" spans="1:22" x14ac:dyDescent="0.3">
      <c r="A7" s="170" t="s">
        <v>184</v>
      </c>
      <c r="B7" s="182">
        <v>1</v>
      </c>
      <c r="C7" s="177">
        <v>3</v>
      </c>
      <c r="D7" s="255">
        <v>2</v>
      </c>
      <c r="E7" s="180">
        <v>10</v>
      </c>
      <c r="F7" s="225">
        <v>3</v>
      </c>
      <c r="G7" s="226">
        <v>2</v>
      </c>
      <c r="H7" s="229">
        <f>F7*G7</f>
        <v>6</v>
      </c>
      <c r="I7" s="225">
        <f>F7</f>
        <v>3</v>
      </c>
      <c r="J7" s="230">
        <f>G7</f>
        <v>2</v>
      </c>
      <c r="K7" s="230"/>
      <c r="L7" s="191">
        <v>700</v>
      </c>
      <c r="M7" s="196">
        <v>6</v>
      </c>
      <c r="N7" s="195">
        <f>N5</f>
        <v>100</v>
      </c>
      <c r="O7" s="202">
        <f>M7*N7</f>
        <v>600</v>
      </c>
      <c r="P7" s="213">
        <f>P5</f>
        <v>50</v>
      </c>
      <c r="Q7" s="203">
        <f>P7*M7</f>
        <v>300</v>
      </c>
      <c r="R7" s="204">
        <f>L7+O7+Q7</f>
        <v>1600</v>
      </c>
      <c r="S7" s="205">
        <f>F7*R7</f>
        <v>4800</v>
      </c>
      <c r="T7" s="232">
        <f>S7*G7</f>
        <v>9600</v>
      </c>
      <c r="U7" s="253" t="s">
        <v>48</v>
      </c>
      <c r="V7" s="283">
        <f>D7*F7*(M7-1)</f>
        <v>30</v>
      </c>
    </row>
    <row r="8" spans="1:22" s="251" customFormat="1" ht="6" customHeight="1" x14ac:dyDescent="0.3">
      <c r="A8" s="247"/>
      <c r="B8" s="248"/>
      <c r="C8" s="248"/>
      <c r="D8" s="248"/>
      <c r="E8" s="249"/>
      <c r="F8" s="249"/>
      <c r="G8" s="249"/>
      <c r="H8" s="249"/>
      <c r="I8" s="249"/>
      <c r="J8" s="249"/>
      <c r="K8" s="249"/>
      <c r="L8" s="250"/>
      <c r="M8" s="250"/>
      <c r="N8" s="248"/>
      <c r="O8" s="248"/>
      <c r="P8" s="248"/>
      <c r="Q8" s="248"/>
      <c r="R8" s="248"/>
      <c r="S8" s="248"/>
      <c r="T8" s="248"/>
      <c r="U8" s="248"/>
    </row>
    <row r="9" spans="1:22" x14ac:dyDescent="0.3">
      <c r="A9" s="206" t="s">
        <v>186</v>
      </c>
      <c r="B9" s="233">
        <v>4</v>
      </c>
      <c r="C9" s="234">
        <v>4</v>
      </c>
      <c r="D9" s="255">
        <v>1</v>
      </c>
      <c r="E9" s="180">
        <v>10</v>
      </c>
      <c r="F9" s="240">
        <v>60</v>
      </c>
      <c r="G9" s="235">
        <v>1</v>
      </c>
      <c r="H9" s="227">
        <v>120</v>
      </c>
      <c r="I9" s="240">
        <f>H9</f>
        <v>120</v>
      </c>
      <c r="J9" s="241">
        <f>G9</f>
        <v>1</v>
      </c>
      <c r="K9" s="241"/>
      <c r="L9" s="191">
        <v>700</v>
      </c>
      <c r="M9" s="196">
        <f>M7</f>
        <v>6</v>
      </c>
      <c r="N9" s="195">
        <f>N7*0.4</f>
        <v>40</v>
      </c>
      <c r="O9" s="202">
        <f>M9*N9</f>
        <v>240</v>
      </c>
      <c r="P9" s="213">
        <f>P7</f>
        <v>50</v>
      </c>
      <c r="Q9" s="203">
        <f>P9*M9</f>
        <v>300</v>
      </c>
      <c r="R9" s="204">
        <f>L9+O9+Q9</f>
        <v>1240</v>
      </c>
      <c r="S9" s="205">
        <f>H9*R9</f>
        <v>148800</v>
      </c>
      <c r="T9" s="198">
        <f>S9</f>
        <v>148800</v>
      </c>
      <c r="V9" s="283" t="s">
        <v>48</v>
      </c>
    </row>
    <row r="10" spans="1:22" ht="6" customHeight="1" x14ac:dyDescent="0.3">
      <c r="B10" s="35"/>
      <c r="C10" s="35"/>
      <c r="D10" s="74"/>
      <c r="E10" s="74"/>
      <c r="F10" s="74"/>
      <c r="G10" s="74"/>
      <c r="H10" s="74"/>
      <c r="I10" s="74"/>
      <c r="J10" s="74"/>
      <c r="K10" s="74"/>
      <c r="L10" s="194"/>
      <c r="M10" s="194"/>
    </row>
    <row r="11" spans="1:22" x14ac:dyDescent="0.3">
      <c r="A11" s="206" t="s">
        <v>97</v>
      </c>
      <c r="B11" s="207">
        <v>1</v>
      </c>
      <c r="C11" s="236">
        <v>3</v>
      </c>
      <c r="D11" s="243">
        <v>1</v>
      </c>
      <c r="E11" s="180">
        <v>10</v>
      </c>
      <c r="F11" s="237">
        <v>5</v>
      </c>
      <c r="G11" s="235">
        <v>1</v>
      </c>
      <c r="H11" s="227">
        <v>10</v>
      </c>
      <c r="I11" s="238">
        <f>H11</f>
        <v>10</v>
      </c>
      <c r="J11" s="264">
        <f>H11/I11</f>
        <v>1</v>
      </c>
      <c r="K11" s="264"/>
      <c r="L11" s="191">
        <v>700</v>
      </c>
      <c r="M11" s="196">
        <f>M9</f>
        <v>6</v>
      </c>
      <c r="N11" s="195">
        <f>N9</f>
        <v>40</v>
      </c>
      <c r="O11" s="202">
        <f>M11*N11</f>
        <v>240</v>
      </c>
      <c r="P11" s="213">
        <f>P9</f>
        <v>50</v>
      </c>
      <c r="Q11" s="203">
        <f>P11*M11</f>
        <v>300</v>
      </c>
      <c r="R11" s="204">
        <f>L11+O11+Q11</f>
        <v>1240</v>
      </c>
      <c r="S11" s="205">
        <f>H11*R11</f>
        <v>12400</v>
      </c>
      <c r="T11" s="198">
        <f>S11</f>
        <v>12400</v>
      </c>
      <c r="V11" s="283">
        <f>E11*D11*(M11)</f>
        <v>60</v>
      </c>
    </row>
    <row r="12" spans="1:22" ht="5.25" customHeight="1" x14ac:dyDescent="0.3">
      <c r="B12" s="35"/>
      <c r="C12" s="35"/>
      <c r="D12" s="35"/>
      <c r="E12" s="74"/>
      <c r="F12" s="74"/>
      <c r="G12" s="74"/>
      <c r="H12" s="74"/>
      <c r="I12" s="74"/>
      <c r="J12" s="74"/>
      <c r="K12" s="74"/>
      <c r="L12" s="194"/>
      <c r="M12" s="194"/>
    </row>
    <row r="13" spans="1:22" ht="15.75" customHeight="1" x14ac:dyDescent="0.3">
      <c r="A13" s="206" t="s">
        <v>97</v>
      </c>
      <c r="B13" s="207">
        <v>1</v>
      </c>
      <c r="C13" s="236">
        <v>3</v>
      </c>
      <c r="D13" s="243">
        <v>1</v>
      </c>
      <c r="E13" s="180">
        <v>10</v>
      </c>
      <c r="F13" s="237">
        <v>1</v>
      </c>
      <c r="G13" s="235">
        <v>1</v>
      </c>
      <c r="H13" s="227">
        <v>10</v>
      </c>
      <c r="I13" s="238">
        <f>H13</f>
        <v>10</v>
      </c>
      <c r="J13" s="239">
        <f>H13/I13</f>
        <v>1</v>
      </c>
      <c r="K13" s="291">
        <f>3*52/8</f>
        <v>19.5</v>
      </c>
      <c r="L13" s="194"/>
      <c r="M13" s="194"/>
      <c r="T13" s="298">
        <f>'10_LocalConnectorLabourCost'!M6</f>
        <v>73500</v>
      </c>
      <c r="V13" s="292">
        <f>E13*D13*K13</f>
        <v>195</v>
      </c>
    </row>
    <row r="14" spans="1:22" ht="6" customHeight="1" x14ac:dyDescent="0.3">
      <c r="B14" s="35"/>
      <c r="C14" s="35"/>
      <c r="D14" s="35"/>
      <c r="E14" s="74"/>
      <c r="F14" s="74"/>
      <c r="G14" s="74"/>
      <c r="H14" s="74"/>
      <c r="I14" s="74"/>
      <c r="J14" s="74"/>
      <c r="K14" s="74"/>
      <c r="L14" s="194"/>
      <c r="M14" s="194"/>
    </row>
    <row r="15" spans="1:22" ht="15" customHeight="1" x14ac:dyDescent="0.3">
      <c r="A15" s="102" t="s">
        <v>256</v>
      </c>
      <c r="B15" s="207">
        <v>1</v>
      </c>
      <c r="C15" s="236">
        <v>3</v>
      </c>
      <c r="D15" s="243">
        <v>1</v>
      </c>
      <c r="E15" s="180">
        <v>10</v>
      </c>
      <c r="F15" s="313">
        <v>3</v>
      </c>
      <c r="G15" s="235">
        <v>1</v>
      </c>
      <c r="H15" s="229">
        <f>F15*G15*2</f>
        <v>6</v>
      </c>
      <c r="I15" s="313">
        <v>6</v>
      </c>
      <c r="J15" s="314">
        <f>H15/I15</f>
        <v>1</v>
      </c>
      <c r="K15" s="74"/>
      <c r="L15" s="266">
        <f>L11</f>
        <v>700</v>
      </c>
      <c r="M15" s="196">
        <f>M11</f>
        <v>6</v>
      </c>
      <c r="N15" s="195">
        <f>N11</f>
        <v>40</v>
      </c>
      <c r="O15" s="202">
        <f>M15*N15</f>
        <v>240</v>
      </c>
      <c r="P15" s="213">
        <f>P11</f>
        <v>50</v>
      </c>
      <c r="Q15" s="203">
        <f>P15*M15</f>
        <v>300</v>
      </c>
      <c r="R15" s="204">
        <f>L15+O15+Q15</f>
        <v>1240</v>
      </c>
      <c r="S15" s="205">
        <f>H15*R15</f>
        <v>7440</v>
      </c>
      <c r="T15" s="198">
        <f>S15</f>
        <v>7440</v>
      </c>
      <c r="V15" s="283">
        <f>E15*D15*(M15)*H15</f>
        <v>360</v>
      </c>
    </row>
    <row r="16" spans="1:22" ht="5.25" customHeight="1" x14ac:dyDescent="0.3">
      <c r="B16" s="35"/>
      <c r="C16" s="35"/>
      <c r="D16" s="35"/>
      <c r="E16" s="74"/>
      <c r="F16" s="74"/>
      <c r="G16" s="74"/>
      <c r="H16" s="74"/>
      <c r="I16" s="74"/>
      <c r="J16" s="74"/>
      <c r="K16" s="74"/>
      <c r="L16" s="194"/>
      <c r="M16" s="194"/>
    </row>
    <row r="17" spans="1:22" ht="15" customHeight="1" x14ac:dyDescent="0.3">
      <c r="B17" s="35"/>
      <c r="C17" s="35"/>
      <c r="D17" s="35"/>
      <c r="E17" s="74"/>
      <c r="F17" s="327">
        <v>20</v>
      </c>
      <c r="G17" s="74"/>
      <c r="H17" s="74"/>
      <c r="I17" s="74"/>
      <c r="J17" s="74"/>
      <c r="K17" s="74"/>
      <c r="L17" s="194"/>
      <c r="M17" s="196">
        <v>8</v>
      </c>
      <c r="V17" s="328">
        <f>F17*M17</f>
        <v>160</v>
      </c>
    </row>
    <row r="18" spans="1:22" ht="5.25" customHeight="1" x14ac:dyDescent="0.3">
      <c r="B18" s="35"/>
      <c r="C18" s="35"/>
      <c r="D18" s="35"/>
      <c r="E18" s="74"/>
      <c r="F18" s="74"/>
      <c r="G18" s="74"/>
      <c r="H18" s="74"/>
      <c r="I18" s="74"/>
      <c r="J18" s="74"/>
      <c r="K18" s="74"/>
      <c r="L18" s="194"/>
      <c r="M18" s="194"/>
    </row>
    <row r="19" spans="1:22" s="35" customFormat="1" x14ac:dyDescent="0.3">
      <c r="A19" s="149"/>
      <c r="E19" s="74"/>
      <c r="F19" s="74"/>
      <c r="G19" s="74"/>
      <c r="H19" s="74"/>
      <c r="I19" s="74"/>
      <c r="J19" s="74"/>
      <c r="K19" s="74"/>
      <c r="L19" s="194"/>
      <c r="M19" s="194"/>
      <c r="T19" s="302">
        <f>SUM(T2:T16)</f>
        <v>290740</v>
      </c>
      <c r="V19" s="284">
        <f>SUM(V3:V18)</f>
        <v>895</v>
      </c>
    </row>
    <row r="20" spans="1:22" s="35" customFormat="1" x14ac:dyDescent="0.3">
      <c r="A20" s="149"/>
      <c r="E20" s="74"/>
      <c r="F20" s="74"/>
      <c r="G20" s="74"/>
      <c r="H20" s="74"/>
      <c r="I20" s="74"/>
      <c r="J20" s="74"/>
      <c r="K20" s="74"/>
      <c r="L20" s="194"/>
      <c r="M20" s="194"/>
    </row>
  </sheetData>
  <hyperlinks>
    <hyperlink ref="A1" r:id="rId1" display="../Mentors/Cross_Section_Of_Mentors.htm"/>
    <hyperlink ref="A5" r:id="rId2" display="../Mentors/b_Role_Models/Sporting_Role_Models.htm"/>
    <hyperlink ref="A7" r:id="rId3" display="../Core/Panel_Of_Three_Judges.htm"/>
    <hyperlink ref="A9" r:id="rId4" display="../Students/Accepted_Year_9_School_Students.htm"/>
    <hyperlink ref="A11" r:id="rId5" display="../Mentors/Local_Connectors.htm"/>
    <hyperlink ref="A3" r:id="rId6" display="../3TeamChall/3/I.T._Geek_Nerds.htm"/>
    <hyperlink ref="A13" r:id="rId7" display="../Mentors/Local_Connectors.htm"/>
    <hyperlink ref="A15" r:id="rId8"/>
  </hyperlinks>
  <pageMargins left="0.7" right="0.7" top="0.75" bottom="0.75" header="0.3" footer="0.3"/>
  <pageSetup paperSize="9" orientation="portrait" horizontalDpi="0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G27" sqref="G27"/>
    </sheetView>
  </sheetViews>
  <sheetFormatPr defaultRowHeight="12.75" x14ac:dyDescent="0.2"/>
  <cols>
    <col min="2" max="2" width="42.5703125" customWidth="1"/>
    <col min="3" max="3" width="10.140625" style="1" bestFit="1" customWidth="1"/>
    <col min="4" max="4" width="9.140625" style="141" customWidth="1"/>
  </cols>
  <sheetData>
    <row r="1" spans="1:4" ht="15" x14ac:dyDescent="0.25">
      <c r="A1" s="116" t="s">
        <v>124</v>
      </c>
    </row>
    <row r="2" spans="1:4" x14ac:dyDescent="0.2">
      <c r="C2" s="143" t="s">
        <v>126</v>
      </c>
      <c r="D2" s="142" t="s">
        <v>125</v>
      </c>
    </row>
    <row r="3" spans="1:4" x14ac:dyDescent="0.2">
      <c r="A3" t="str">
        <f>'Budget item costs'!B2</f>
        <v>Student transport, accomm, clothing, equip costs</v>
      </c>
      <c r="C3" s="1">
        <f>'Budget item costs'!C41</f>
        <v>699052</v>
      </c>
      <c r="D3" s="141">
        <f>C3/$C$33</f>
        <v>0.49325817738643701</v>
      </c>
    </row>
    <row r="5" spans="1:4" x14ac:dyDescent="0.2">
      <c r="A5" t="str">
        <f>'Budget item costs'!F5</f>
        <v>Mentor flights, accommodation &amp; meals</v>
      </c>
      <c r="C5" s="1">
        <f>'Budget item costs'!I6</f>
        <v>207000</v>
      </c>
      <c r="D5" s="141">
        <f>C5/$C$33</f>
        <v>0.1460612983282967</v>
      </c>
    </row>
    <row r="7" spans="1:4" x14ac:dyDescent="0.2">
      <c r="A7" t="str">
        <f>'Budget item costs'!F8</f>
        <v>Out-of-pockets Three Challenge Judges</v>
      </c>
      <c r="C7" s="1">
        <f>'Budget item costs'!I9</f>
        <v>24450</v>
      </c>
      <c r="D7" s="141">
        <f>C7/$C$33</f>
        <v>1.7252167846023451E-2</v>
      </c>
    </row>
    <row r="9" spans="1:4" x14ac:dyDescent="0.2">
      <c r="A9" t="str">
        <f>'Budget item costs'!F11</f>
        <v>Out-of-pockets for 20 Wise Old Owls</v>
      </c>
      <c r="C9" s="1">
        <f>'Budget item costs'!I12</f>
        <v>12000</v>
      </c>
      <c r="D9" s="141">
        <f>C9/$C$33</f>
        <v>8.4673216422200982E-3</v>
      </c>
    </row>
    <row r="11" spans="1:4" x14ac:dyDescent="0.2">
      <c r="A11" t="s">
        <v>150</v>
      </c>
      <c r="C11" s="1">
        <f>'O-o-P_6_RegionlTeamsCo-ord'!P6</f>
        <v>20000</v>
      </c>
      <c r="D11" s="141">
        <f>C11/C33</f>
        <v>1.4112202737033498E-2</v>
      </c>
    </row>
    <row r="13" spans="1:4" x14ac:dyDescent="0.2">
      <c r="A13" t="str">
        <f>'Budget item costs'!F19</f>
        <v>Out-of-pockets 6 Regional Schools Teams Co-ordinators</v>
      </c>
      <c r="C13" s="1">
        <f>'O-o-P_6_RegionlTeamsCo-ord'!W11-'O-o-P_6_RegionlTeamsCo-ord'!P6</f>
        <v>6151.2000000000007</v>
      </c>
      <c r="D13" s="141">
        <f>C13/$C$33</f>
        <v>4.3403490738020229E-3</v>
      </c>
    </row>
    <row r="15" spans="1:4" x14ac:dyDescent="0.2">
      <c r="A15" t="str">
        <f>'Budget item costs'!F25</f>
        <v>Out-of-pockets for 30 Local 'Connectors'</v>
      </c>
      <c r="C15" s="1">
        <f>'Budget item costs'!I29</f>
        <v>18000</v>
      </c>
      <c r="D15" s="141">
        <f>C15/$C$33</f>
        <v>1.2700982463330146E-2</v>
      </c>
    </row>
    <row r="17" spans="1:4" x14ac:dyDescent="0.2">
      <c r="A17" t="s">
        <v>269</v>
      </c>
      <c r="C17" s="1">
        <f>'Out-of-pockets_Local_Connectors'!H7</f>
        <v>36900</v>
      </c>
      <c r="D17" s="141">
        <f>C17/$C$33</f>
        <v>2.6037014049826803E-2</v>
      </c>
    </row>
    <row r="19" spans="1:4" x14ac:dyDescent="0.2">
      <c r="A19" t="str">
        <f>'10_LocalConnectorLabourCost'!A3</f>
        <v>10 x Local Connector 35 weeks labour costs</v>
      </c>
      <c r="C19" s="1">
        <f>'10_LocalConnectorLabourCost'!M8</f>
        <v>294000</v>
      </c>
      <c r="D19" s="141">
        <f>C19/$C$33</f>
        <v>0.20744938023439241</v>
      </c>
    </row>
    <row r="21" spans="1:4" x14ac:dyDescent="0.2">
      <c r="A21" t="str">
        <f>Local_Connector_cameras!B1</f>
        <v>Local_Connector_cameras</v>
      </c>
      <c r="C21" s="1">
        <f>Local_Connector_cameras!F6</f>
        <v>6000</v>
      </c>
      <c r="D21" s="141">
        <f>C21/$C$33</f>
        <v>4.2336608211100491E-3</v>
      </c>
    </row>
    <row r="23" spans="1:4" x14ac:dyDescent="0.2">
      <c r="A23" t="str">
        <f>'1stYearYoungCorpSponSportEmploy'!A1</f>
        <v>1st Year 10 x Younger Corporate Sponsor Sports Employees</v>
      </c>
      <c r="C23" s="1">
        <f>'1stYearYoungCorpSponSportEmploy'!L11</f>
        <v>12700</v>
      </c>
      <c r="D23" s="141">
        <f>C23/$C$33</f>
        <v>8.9612487380162711E-3</v>
      </c>
    </row>
    <row r="25" spans="1:4" x14ac:dyDescent="0.2">
      <c r="A25" t="str">
        <f>'2nd&amp;3rdYear_RegTeamCo-Ord'!A1</f>
        <v>2nd &amp; 3rd Year Regional Team Co-Ordinators</v>
      </c>
      <c r="C25" s="1">
        <f>'2nd&amp;3rdYear_RegTeamCo-Ord'!M11</f>
        <v>14520</v>
      </c>
      <c r="D25" s="141">
        <f>C25/$C$33</f>
        <v>1.0245459187086319E-2</v>
      </c>
    </row>
    <row r="27" spans="1:4" x14ac:dyDescent="0.2">
      <c r="A27" t="str">
        <f>'20 Work Experience flight costs'!A1</f>
        <v>20 Work Experience Recipients flight costs</v>
      </c>
      <c r="C27" s="1">
        <f>'20 Work Experience flight costs'!E4</f>
        <v>11000</v>
      </c>
      <c r="D27" s="141">
        <f>C27/$C$33</f>
        <v>7.7617115053684235E-3</v>
      </c>
    </row>
    <row r="29" spans="1:4" x14ac:dyDescent="0.2">
      <c r="A29" t="str">
        <f>'Budget item costs'!F37</f>
        <v>Website Development</v>
      </c>
      <c r="C29" s="1">
        <f>'Budget item costs'!I37</f>
        <v>25440</v>
      </c>
      <c r="D29" s="141">
        <f>C29/$C$33</f>
        <v>1.7950721881506607E-2</v>
      </c>
    </row>
    <row r="31" spans="1:4" x14ac:dyDescent="0.2">
      <c r="A31" t="str">
        <f>'Budget item costs'!L44</f>
        <v>Contingency</v>
      </c>
      <c r="C31" s="1">
        <f>'Budget item costs'!K44</f>
        <v>30000</v>
      </c>
      <c r="D31" s="141">
        <f>C31/$C$33</f>
        <v>2.1168304105550245E-2</v>
      </c>
    </row>
    <row r="33" spans="1:4" x14ac:dyDescent="0.2">
      <c r="A33" s="3" t="s">
        <v>127</v>
      </c>
      <c r="C33" s="120">
        <f>SUM(C3:C32)</f>
        <v>1417213.2</v>
      </c>
      <c r="D33" s="141">
        <f>SUM(D3:D32)</f>
        <v>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8"/>
  <sheetViews>
    <sheetView topLeftCell="A40" workbookViewId="0">
      <selection activeCell="D56" sqref="D56"/>
    </sheetView>
  </sheetViews>
  <sheetFormatPr defaultRowHeight="12.75" x14ac:dyDescent="0.2"/>
  <cols>
    <col min="1" max="1" width="32.140625" customWidth="1"/>
    <col min="2" max="2" width="11.42578125" customWidth="1"/>
    <col min="3" max="3" width="66.42578125" customWidth="1"/>
    <col min="4" max="4" width="15.42578125" customWidth="1"/>
    <col min="5" max="5" width="4" customWidth="1"/>
    <col min="7" max="7" width="10.28515625" customWidth="1"/>
    <col min="8" max="8" width="11.5703125" customWidth="1"/>
    <col min="10" max="10" width="12" customWidth="1"/>
    <col min="11" max="11" width="12.140625" customWidth="1"/>
    <col min="12" max="16" width="11.42578125" customWidth="1"/>
    <col min="17" max="17" width="10.28515625" customWidth="1"/>
  </cols>
  <sheetData>
    <row r="2" spans="1:3" x14ac:dyDescent="0.2">
      <c r="A2" s="3" t="str">
        <f>'1stYearTravelAccommMealsLabour'!A2</f>
        <v>Reg. School Teams' Co-ordinators</v>
      </c>
      <c r="B2" s="1">
        <v>0</v>
      </c>
    </row>
    <row r="3" spans="1:3" x14ac:dyDescent="0.2">
      <c r="A3" s="3"/>
      <c r="B3" s="1"/>
    </row>
    <row r="4" spans="1:3" x14ac:dyDescent="0.2">
      <c r="A4" s="3" t="str">
        <f>'1stYearTravelAccommMealsLabour'!A4</f>
        <v>Year 9 Student Interviewers</v>
      </c>
      <c r="B4" s="1">
        <f>'1stYearTravelAccommMealsLabour'!U4</f>
        <v>19500</v>
      </c>
    </row>
    <row r="5" spans="1:3" x14ac:dyDescent="0.2">
      <c r="A5" s="3"/>
      <c r="B5" s="1"/>
    </row>
    <row r="6" spans="1:3" x14ac:dyDescent="0.2">
      <c r="A6" s="3" t="str">
        <f>'1stYearTravelAccommMealsLabour'!A6</f>
        <v>Team Sporting Coaches</v>
      </c>
      <c r="B6" s="1">
        <f>'1stYearTravelAccommMealsLabour'!U6</f>
        <v>34500</v>
      </c>
    </row>
    <row r="7" spans="1:3" x14ac:dyDescent="0.2">
      <c r="A7" s="3"/>
      <c r="B7" s="1"/>
    </row>
    <row r="8" spans="1:3" x14ac:dyDescent="0.2">
      <c r="A8" s="3" t="str">
        <f>'2ndYearTravelAccommMealsLabour'!A3</f>
        <v>Public Speaking Instructors</v>
      </c>
      <c r="B8" s="1">
        <f>'2ndYearTravelAccommMealsLabour'!T3</f>
        <v>23000</v>
      </c>
    </row>
    <row r="9" spans="1:3" x14ac:dyDescent="0.2">
      <c r="A9" s="3"/>
      <c r="B9" s="1"/>
    </row>
    <row r="10" spans="1:3" x14ac:dyDescent="0.2">
      <c r="A10" s="3" t="str">
        <f>'3rdYearTravelAccommMealsLabour'!A3</f>
        <v>I.T. Geek Nerds</v>
      </c>
      <c r="B10" s="1">
        <f>'3rdYearTravelAccommMealsLabour'!T3</f>
        <v>26000</v>
      </c>
    </row>
    <row r="11" spans="1:3" x14ac:dyDescent="0.2">
      <c r="A11" s="3"/>
      <c r="B11" s="1"/>
    </row>
    <row r="12" spans="1:3" x14ac:dyDescent="0.2">
      <c r="A12" s="3" t="str">
        <f>'1stYearTravelAccommMealsLabour'!A10</f>
        <v>Sporting Role Models</v>
      </c>
      <c r="B12" s="1">
        <f>'1stYearTravelAccommMealsLabour'!U10+'2ndYearTravelAccommMealsLabour'!T5+'3rdYearTravelAccommMealsLabour'!T5</f>
        <v>59000</v>
      </c>
    </row>
    <row r="13" spans="1:3" x14ac:dyDescent="0.2">
      <c r="A13" s="3"/>
      <c r="B13" s="1"/>
    </row>
    <row r="14" spans="1:3" x14ac:dyDescent="0.2">
      <c r="A14" s="3" t="str">
        <f>'1stYearTravelAccommMealsLabour'!A12</f>
        <v>Panel Of Three Judges</v>
      </c>
      <c r="B14" s="1">
        <f>'1stYearTravelAccommMealsLabour'!U12+'2ndYearTravelAccommMealsLabour'!T7+'3rdYearTravelAccommMealsLabour'!T7</f>
        <v>29700</v>
      </c>
    </row>
    <row r="15" spans="1:3" x14ac:dyDescent="0.2">
      <c r="A15" s="3"/>
      <c r="B15" s="1"/>
    </row>
    <row r="16" spans="1:3" x14ac:dyDescent="0.2">
      <c r="A16" s="3" t="str">
        <f>'1stYearTravelAccommMealsLabour'!A14</f>
        <v>120 Accepted Year 9 Students</v>
      </c>
      <c r="B16" s="1">
        <f>'1stYearTravelAccommMealsLabour'!U14+'2ndYearTravelAccommMealsLabour'!T9+'3rdYearTravelAccommMealsLabour'!T9</f>
        <v>442800</v>
      </c>
      <c r="C16" s="261">
        <f>'Budget item costs'!C5+'Budget item costs'!C7</f>
        <v>450000</v>
      </c>
    </row>
    <row r="17" spans="1:19" x14ac:dyDescent="0.2">
      <c r="A17" s="3"/>
      <c r="B17" s="1"/>
    </row>
    <row r="18" spans="1:19" x14ac:dyDescent="0.2">
      <c r="A18" s="3" t="str">
        <f>'1stYearTravelAccommMealsLabour'!A16</f>
        <v>Local 'Connectors'</v>
      </c>
      <c r="B18" s="119">
        <f>'1stYearTravelAccommMealsLabour'!U16+'2ndYearTravelAccommMealsLabour'!T11+'3rdYearTravelAccommMealsLabour'!T11</f>
        <v>36900</v>
      </c>
    </row>
    <row r="19" spans="1:19" x14ac:dyDescent="0.2">
      <c r="B19" s="1"/>
      <c r="J19" s="273" t="s">
        <v>214</v>
      </c>
      <c r="K19" s="3" t="s">
        <v>214</v>
      </c>
      <c r="L19" s="3" t="s">
        <v>214</v>
      </c>
      <c r="M19" s="3" t="s">
        <v>214</v>
      </c>
      <c r="N19" s="3" t="str">
        <f>L19</f>
        <v>2 Applicant</v>
      </c>
      <c r="O19" s="3" t="s">
        <v>214</v>
      </c>
      <c r="P19" s="3" t="s">
        <v>214</v>
      </c>
      <c r="Q19" s="274" t="s">
        <v>217</v>
      </c>
    </row>
    <row r="20" spans="1:19" x14ac:dyDescent="0.2">
      <c r="B20" s="258">
        <f>SUM(B2:B19)</f>
        <v>671400</v>
      </c>
      <c r="G20" s="273" t="s">
        <v>210</v>
      </c>
      <c r="H20" s="3" t="str">
        <f>G20</f>
        <v xml:space="preserve">Student </v>
      </c>
      <c r="I20" s="3" t="str">
        <f>H20</f>
        <v xml:space="preserve">Student </v>
      </c>
      <c r="J20" s="273" t="s">
        <v>213</v>
      </c>
      <c r="K20" s="3" t="s">
        <v>213</v>
      </c>
      <c r="L20" s="3" t="s">
        <v>213</v>
      </c>
      <c r="M20" s="3" t="s">
        <v>213</v>
      </c>
      <c r="N20" s="3" t="str">
        <f>L20</f>
        <v>Interviewers</v>
      </c>
      <c r="O20" s="3" t="s">
        <v>213</v>
      </c>
      <c r="P20" s="3" t="s">
        <v>213</v>
      </c>
      <c r="Q20" s="274" t="s">
        <v>218</v>
      </c>
    </row>
    <row r="21" spans="1:19" ht="63.75" x14ac:dyDescent="0.2">
      <c r="D21" s="257" t="s">
        <v>216</v>
      </c>
      <c r="G21" s="276" t="str">
        <f>'Budget item costs'!B5</f>
        <v>Transport</v>
      </c>
      <c r="H21" s="269" t="str">
        <f>'Budget item costs'!B7</f>
        <v>Accommodation/Meals</v>
      </c>
      <c r="I21" s="67" t="s">
        <v>211</v>
      </c>
      <c r="J21" s="274" t="s">
        <v>225</v>
      </c>
      <c r="K21" s="7" t="s">
        <v>226</v>
      </c>
      <c r="L21" s="67" t="s">
        <v>227</v>
      </c>
      <c r="M21" s="67" t="s">
        <v>228</v>
      </c>
      <c r="N21" s="67" t="s">
        <v>153</v>
      </c>
      <c r="O21" s="67" t="s">
        <v>131</v>
      </c>
      <c r="P21" s="67" t="s">
        <v>229</v>
      </c>
      <c r="Q21" s="282" t="s">
        <v>230</v>
      </c>
    </row>
    <row r="22" spans="1:19" x14ac:dyDescent="0.2">
      <c r="C22" s="3" t="s">
        <v>201</v>
      </c>
      <c r="D22" s="1">
        <f>'1stYearTravelAccommMealsLabour'!U25</f>
        <v>438320</v>
      </c>
      <c r="G22" s="277">
        <f>'Student transport,accom,meals'!D12</f>
        <v>66000</v>
      </c>
      <c r="H22" s="270">
        <f>'Student transport,accom,meals'!D14</f>
        <v>86400</v>
      </c>
      <c r="I22" s="270">
        <f>G22+H22</f>
        <v>152400</v>
      </c>
      <c r="J22" s="275">
        <f>'O-o-P_6_RegionlTeamsCo-ord'!E6</f>
        <v>5500</v>
      </c>
      <c r="K22" s="12">
        <f>'O-o-P_6_RegionlTeamsCo-ord'!H6</f>
        <v>2000</v>
      </c>
      <c r="L22" s="12">
        <f>J22+K22</f>
        <v>7500</v>
      </c>
      <c r="M22" s="12">
        <f>'O-o-P_6_RegionlTeamsCo-ord'!K6</f>
        <v>8000</v>
      </c>
      <c r="N22" s="12">
        <f>'O-o-P_6_RegionlTeamsCo-ord'!N6</f>
        <v>4000</v>
      </c>
      <c r="O22" s="12">
        <f>'O-o-P_6_RegionlTeamsCo-ord'!O6</f>
        <v>500</v>
      </c>
      <c r="P22" s="12">
        <f>L22+M22+N22+O22</f>
        <v>20000</v>
      </c>
      <c r="Q22" s="275">
        <f>'Out-of-pockets_Local_Connectors'!H4</f>
        <v>12700</v>
      </c>
      <c r="S22" s="12">
        <f>I22+P22+Q22</f>
        <v>185100</v>
      </c>
    </row>
    <row r="23" spans="1:19" x14ac:dyDescent="0.2">
      <c r="D23" s="1"/>
      <c r="G23" s="277"/>
      <c r="H23" s="270"/>
      <c r="I23" s="270"/>
      <c r="J23" s="160"/>
      <c r="Q23" s="275"/>
    </row>
    <row r="24" spans="1:19" x14ac:dyDescent="0.2">
      <c r="C24" s="3" t="s">
        <v>202</v>
      </c>
      <c r="D24" s="1">
        <f>'2ndYearTravelAccommMealsLabour'!T23</f>
        <v>312580</v>
      </c>
      <c r="G24" s="277">
        <f>'Student transport,accom,meals'!D23</f>
        <v>66000</v>
      </c>
      <c r="H24" s="270">
        <f>'Student transport,accom,meals'!D25</f>
        <v>75600</v>
      </c>
      <c r="I24" s="270">
        <f>G24+H24</f>
        <v>141600</v>
      </c>
      <c r="J24" s="160"/>
      <c r="Q24" s="275">
        <f>'Out-of-pockets_Local_Connectors'!H5</f>
        <v>11800</v>
      </c>
      <c r="S24" s="1">
        <f>I24+Q24</f>
        <v>153400</v>
      </c>
    </row>
    <row r="25" spans="1:19" x14ac:dyDescent="0.2">
      <c r="D25" s="1"/>
      <c r="G25" s="277"/>
      <c r="H25" s="270"/>
      <c r="I25" s="270"/>
      <c r="J25" s="160"/>
      <c r="Q25" s="275"/>
    </row>
    <row r="26" spans="1:19" x14ac:dyDescent="0.2">
      <c r="C26" s="3" t="s">
        <v>203</v>
      </c>
      <c r="D26" s="119">
        <f>'3rdYearTravelAccommMealsLabour'!T19</f>
        <v>290740</v>
      </c>
      <c r="G26" s="278">
        <f>'Student transport,accom,meals'!D34</f>
        <v>84000</v>
      </c>
      <c r="H26" s="271">
        <f>'Student transport,accom,meals'!D36</f>
        <v>72000</v>
      </c>
      <c r="I26" s="271">
        <f>G26+H26</f>
        <v>156000</v>
      </c>
      <c r="J26" s="160"/>
      <c r="Q26" s="275">
        <f>'Out-of-pockets_Local_Connectors'!H6</f>
        <v>12400</v>
      </c>
      <c r="S26" s="1">
        <f>I26+Q26</f>
        <v>168400</v>
      </c>
    </row>
    <row r="27" spans="1:19" x14ac:dyDescent="0.2">
      <c r="D27" s="1"/>
      <c r="G27" s="277"/>
      <c r="H27" s="270"/>
      <c r="I27" s="270"/>
      <c r="J27" s="160"/>
      <c r="Q27" s="160"/>
    </row>
    <row r="28" spans="1:19" x14ac:dyDescent="0.2">
      <c r="C28" s="259" t="s">
        <v>204</v>
      </c>
      <c r="D28" s="120">
        <f>SUM(D22:D27)</f>
        <v>1041640</v>
      </c>
      <c r="G28" s="279">
        <f t="shared" ref="G28:Q28" si="0">SUM(G22:G27)</f>
        <v>216000</v>
      </c>
      <c r="H28" s="120">
        <f t="shared" si="0"/>
        <v>234000</v>
      </c>
      <c r="I28" s="120">
        <f t="shared" si="0"/>
        <v>450000</v>
      </c>
      <c r="J28" s="279">
        <f t="shared" si="0"/>
        <v>5500</v>
      </c>
      <c r="K28" s="281">
        <f t="shared" si="0"/>
        <v>2000</v>
      </c>
      <c r="L28" s="281">
        <f t="shared" si="0"/>
        <v>7500</v>
      </c>
      <c r="M28" s="281">
        <f t="shared" si="0"/>
        <v>8000</v>
      </c>
      <c r="N28" s="281">
        <f t="shared" si="0"/>
        <v>4000</v>
      </c>
      <c r="O28" s="281">
        <f t="shared" si="0"/>
        <v>500</v>
      </c>
      <c r="P28" s="281">
        <f t="shared" si="0"/>
        <v>20000</v>
      </c>
      <c r="Q28" s="279">
        <f t="shared" si="0"/>
        <v>36900</v>
      </c>
    </row>
    <row r="29" spans="1:19" x14ac:dyDescent="0.2">
      <c r="G29" s="270"/>
      <c r="H29" s="270"/>
      <c r="I29" s="270"/>
    </row>
    <row r="30" spans="1:19" x14ac:dyDescent="0.2">
      <c r="C30" s="3" t="str">
        <f>'Budget item costs'!B13</f>
        <v>Sports clothing</v>
      </c>
      <c r="D30" s="1">
        <f>'Budget item costs'!C13</f>
        <v>42350</v>
      </c>
      <c r="E30" s="268" t="s">
        <v>209</v>
      </c>
      <c r="G30" s="270"/>
      <c r="H30" s="270"/>
      <c r="I30" s="270"/>
    </row>
    <row r="31" spans="1:19" x14ac:dyDescent="0.2">
      <c r="C31" s="3"/>
      <c r="D31" s="1"/>
      <c r="G31" s="270"/>
      <c r="H31" s="270"/>
      <c r="I31" s="270"/>
    </row>
    <row r="32" spans="1:19" x14ac:dyDescent="0.2">
      <c r="C32" s="3" t="str">
        <f>'Budget item costs'!B15</f>
        <v>Sporting equipment</v>
      </c>
      <c r="D32" s="1">
        <f>'Budget item costs'!C15</f>
        <v>36960</v>
      </c>
      <c r="E32" s="268" t="s">
        <v>209</v>
      </c>
      <c r="G32" s="270"/>
      <c r="H32" s="270"/>
      <c r="I32" s="270"/>
    </row>
    <row r="33" spans="3:9" x14ac:dyDescent="0.2">
      <c r="C33" s="3"/>
      <c r="D33" s="1"/>
      <c r="G33" s="270"/>
      <c r="H33" s="270"/>
      <c r="I33" s="270"/>
    </row>
    <row r="34" spans="3:9" x14ac:dyDescent="0.2">
      <c r="C34" s="3" t="str">
        <f>'Budget item costs'!B18</f>
        <v>School style 'Township suit' &amp; 'You Tube' training</v>
      </c>
      <c r="D34" s="1">
        <f>'Budget item costs'!C18</f>
        <v>39962</v>
      </c>
      <c r="E34" s="268" t="s">
        <v>209</v>
      </c>
      <c r="G34" s="270"/>
      <c r="H34" s="270"/>
      <c r="I34" s="270"/>
    </row>
    <row r="35" spans="3:9" x14ac:dyDescent="0.2">
      <c r="C35" s="3"/>
      <c r="D35" s="1"/>
      <c r="G35" s="270"/>
      <c r="H35" s="270"/>
      <c r="I35" s="270"/>
    </row>
    <row r="36" spans="3:9" x14ac:dyDescent="0.2">
      <c r="C36" s="3" t="str">
        <f>'Budget item costs'!B20</f>
        <v>Computers</v>
      </c>
      <c r="D36" s="1">
        <f>'Budget item costs'!C20</f>
        <v>69300</v>
      </c>
      <c r="E36" s="268" t="s">
        <v>286</v>
      </c>
      <c r="G36" s="270"/>
      <c r="H36" s="270"/>
      <c r="I36" s="270"/>
    </row>
    <row r="37" spans="3:9" x14ac:dyDescent="0.2">
      <c r="C37" s="3"/>
      <c r="D37" s="1"/>
      <c r="G37" s="270"/>
      <c r="H37" s="270"/>
      <c r="I37" s="270"/>
    </row>
    <row r="38" spans="3:9" x14ac:dyDescent="0.2">
      <c r="C38" s="3" t="str">
        <f>'Budget item costs'!B22</f>
        <v>Teams Internet access at local library and two other dedicated locations</v>
      </c>
      <c r="D38" s="1">
        <f>'Budget item costs'!C22</f>
        <v>60480</v>
      </c>
      <c r="E38" s="268" t="s">
        <v>209</v>
      </c>
      <c r="G38" s="270"/>
      <c r="H38" s="270"/>
      <c r="I38" s="270"/>
    </row>
    <row r="39" spans="3:9" x14ac:dyDescent="0.2">
      <c r="G39" s="270"/>
      <c r="H39" s="270"/>
      <c r="I39" s="270"/>
    </row>
    <row r="40" spans="3:9" x14ac:dyDescent="0.2">
      <c r="C40" s="3" t="str">
        <f>'Summary Budget item costs'!A9</f>
        <v>Out-of-pockets for 20 Wise Old Owls</v>
      </c>
      <c r="D40" s="1">
        <f>'Summary Budget item costs'!C9</f>
        <v>12000</v>
      </c>
      <c r="E40" s="268" t="s">
        <v>209</v>
      </c>
      <c r="G40" s="270"/>
      <c r="H40" s="270"/>
      <c r="I40" s="270"/>
    </row>
    <row r="41" spans="3:9" x14ac:dyDescent="0.2">
      <c r="G41" s="270"/>
      <c r="H41" s="270"/>
      <c r="I41" s="270"/>
    </row>
    <row r="42" spans="3:9" x14ac:dyDescent="0.2">
      <c r="C42" s="3" t="str">
        <f>'Summary Budget item costs'!A15</f>
        <v>Out-of-pockets for 30 Local 'Connectors'</v>
      </c>
      <c r="D42" s="1">
        <f>'Summary Budget item costs'!C15</f>
        <v>18000</v>
      </c>
      <c r="E42" s="268" t="s">
        <v>209</v>
      </c>
      <c r="G42" s="270"/>
      <c r="H42" s="270"/>
      <c r="I42" s="270"/>
    </row>
    <row r="43" spans="3:9" x14ac:dyDescent="0.2">
      <c r="G43" s="270"/>
      <c r="H43" s="270"/>
      <c r="I43" s="270"/>
    </row>
    <row r="44" spans="3:9" x14ac:dyDescent="0.2">
      <c r="C44" s="3" t="str">
        <f>'Summary Budget item costs'!A11</f>
        <v>Out-of-pockets 3 Applicant Interviewers</v>
      </c>
      <c r="D44" s="1">
        <f>'Summary Budget item costs'!C11</f>
        <v>20000</v>
      </c>
      <c r="E44" s="268" t="s">
        <v>209</v>
      </c>
      <c r="G44" s="270"/>
      <c r="H44" s="270"/>
      <c r="I44" s="270"/>
    </row>
    <row r="45" spans="3:9" x14ac:dyDescent="0.2">
      <c r="G45" s="270"/>
      <c r="H45" s="270"/>
      <c r="I45" s="270"/>
    </row>
    <row r="46" spans="3:9" x14ac:dyDescent="0.2">
      <c r="C46" s="3" t="str">
        <f>'Summary Budget item costs'!A13</f>
        <v>Out-of-pockets 6 Regional Schools Teams Co-ordinators</v>
      </c>
      <c r="D46" s="1">
        <f>'Summary Budget item costs'!C13</f>
        <v>6151.2000000000007</v>
      </c>
      <c r="E46" s="268" t="s">
        <v>209</v>
      </c>
      <c r="G46" s="270"/>
      <c r="H46" s="270"/>
      <c r="I46" s="270"/>
    </row>
    <row r="47" spans="3:9" x14ac:dyDescent="0.2">
      <c r="G47" s="270"/>
      <c r="H47" s="270"/>
      <c r="I47" s="270"/>
    </row>
    <row r="48" spans="3:9" x14ac:dyDescent="0.2">
      <c r="C48" s="3" t="str">
        <f>'Website Development'!A2</f>
        <v>Website Development</v>
      </c>
      <c r="D48" s="12">
        <f>'Website Development'!B10</f>
        <v>25440</v>
      </c>
      <c r="E48" s="268" t="s">
        <v>209</v>
      </c>
      <c r="G48" s="270"/>
      <c r="H48" s="270"/>
      <c r="I48" s="270"/>
    </row>
    <row r="49" spans="3:9" x14ac:dyDescent="0.2">
      <c r="C49" s="3"/>
      <c r="D49" s="12"/>
      <c r="G49" s="270"/>
      <c r="H49" s="270"/>
      <c r="I49" s="270"/>
    </row>
    <row r="50" spans="3:9" x14ac:dyDescent="0.2">
      <c r="C50" s="3" t="str">
        <f>'Summary Budget item costs'!A31</f>
        <v>Contingency</v>
      </c>
      <c r="D50" s="1">
        <f>'Summary Budget item costs'!C31</f>
        <v>30000</v>
      </c>
      <c r="E50" s="268" t="s">
        <v>209</v>
      </c>
      <c r="G50" s="270"/>
      <c r="H50" s="270"/>
      <c r="I50" s="270"/>
    </row>
    <row r="51" spans="3:9" x14ac:dyDescent="0.2">
      <c r="C51" s="3"/>
      <c r="D51" s="1"/>
      <c r="E51" s="268"/>
      <c r="G51" s="270"/>
      <c r="H51" s="270"/>
      <c r="I51" s="270"/>
    </row>
    <row r="52" spans="3:9" x14ac:dyDescent="0.2">
      <c r="C52" s="3" t="str">
        <f>'20 Work Experience flight costs'!A1</f>
        <v>20 Work Experience Recipients flight costs</v>
      </c>
      <c r="D52" s="1">
        <f>'20 Work Experience flight costs'!E4</f>
        <v>11000</v>
      </c>
      <c r="E52" s="268"/>
      <c r="G52" s="270"/>
      <c r="H52" s="270"/>
      <c r="I52" s="270"/>
    </row>
    <row r="53" spans="3:9" x14ac:dyDescent="0.2">
      <c r="G53" s="270"/>
      <c r="H53" s="270"/>
      <c r="I53" s="270"/>
    </row>
    <row r="54" spans="3:9" x14ac:dyDescent="0.2">
      <c r="D54" s="12">
        <f>SUM(D28:D52)</f>
        <v>1413283.2</v>
      </c>
      <c r="G54" s="270"/>
      <c r="H54" s="270"/>
      <c r="I54" s="270"/>
    </row>
    <row r="55" spans="3:9" x14ac:dyDescent="0.2">
      <c r="G55" s="270"/>
      <c r="H55" s="270"/>
      <c r="I55" s="270"/>
    </row>
    <row r="56" spans="3:9" x14ac:dyDescent="0.2">
      <c r="C56" s="3" t="str">
        <f>'Budget item costs'!L43</f>
        <v>Summary Costs &amp; Receipts</v>
      </c>
      <c r="D56" s="1">
        <f>'Budget item costs'!K43</f>
        <v>1417213.2</v>
      </c>
      <c r="G56" s="270"/>
      <c r="H56" s="270"/>
      <c r="I56" s="270"/>
    </row>
    <row r="57" spans="3:9" x14ac:dyDescent="0.2">
      <c r="G57" s="270"/>
      <c r="H57" s="270"/>
      <c r="I57" s="270"/>
    </row>
    <row r="58" spans="3:9" x14ac:dyDescent="0.2">
      <c r="C58" s="3" t="s">
        <v>118</v>
      </c>
      <c r="D58" s="1">
        <f>D56-D54</f>
        <v>3930</v>
      </c>
      <c r="G58" s="270"/>
      <c r="H58" s="270"/>
      <c r="I58" s="270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2"/>
  <sheetViews>
    <sheetView topLeftCell="E29" workbookViewId="0">
      <selection activeCell="K43" sqref="K43"/>
    </sheetView>
  </sheetViews>
  <sheetFormatPr defaultRowHeight="13.5" x14ac:dyDescent="0.25"/>
  <cols>
    <col min="1" max="1" width="15.140625" customWidth="1"/>
    <col min="2" max="2" width="24.5703125" customWidth="1"/>
    <col min="3" max="3" width="10" style="1" customWidth="1"/>
    <col min="4" max="4" width="5.85546875" style="134" customWidth="1"/>
    <col min="5" max="5" width="1.28515625" style="68" customWidth="1"/>
    <col min="6" max="6" width="48.7109375" customWidth="1"/>
    <col min="7" max="7" width="23.28515625" customWidth="1"/>
    <col min="8" max="8" width="9.5703125" style="1" customWidth="1"/>
    <col min="10" max="10" width="5.7109375" style="138" customWidth="1"/>
    <col min="11" max="11" width="10.42578125" customWidth="1"/>
    <col min="12" max="12" width="13.42578125" customWidth="1"/>
    <col min="14" max="14" width="5.7109375" customWidth="1"/>
    <col min="15" max="15" width="4.28515625" customWidth="1"/>
  </cols>
  <sheetData>
    <row r="2" spans="1:10" ht="15" x14ac:dyDescent="0.25">
      <c r="B2" s="116" t="s">
        <v>254</v>
      </c>
      <c r="G2" s="118" t="s">
        <v>109</v>
      </c>
    </row>
    <row r="3" spans="1:10" x14ac:dyDescent="0.25">
      <c r="G3" t="s">
        <v>253</v>
      </c>
    </row>
    <row r="4" spans="1:10" x14ac:dyDescent="0.25">
      <c r="H4" s="62" t="s">
        <v>114</v>
      </c>
      <c r="I4" s="37" t="s">
        <v>7</v>
      </c>
      <c r="J4" s="139"/>
    </row>
    <row r="5" spans="1:10" x14ac:dyDescent="0.25">
      <c r="A5" t="s">
        <v>106</v>
      </c>
      <c r="B5" t="s">
        <v>83</v>
      </c>
      <c r="C5" s="128">
        <f>'Student transport,accom,meals'!D12+'Student transport,accom,meals'!D23+'Student transport,accom,meals'!D34</f>
        <v>216000</v>
      </c>
      <c r="D5" s="135">
        <f>C5/$C$41</f>
        <v>0.30898988916418235</v>
      </c>
      <c r="F5" t="str">
        <f>'Mentor flights,accom,meals'!A1</f>
        <v>Mentor flights, accommodation &amp; meals</v>
      </c>
      <c r="G5" t="str">
        <f>B5</f>
        <v>Transport</v>
      </c>
      <c r="H5" s="1">
        <f>'Mentor flights,accom,meals'!F17</f>
        <v>99000</v>
      </c>
    </row>
    <row r="6" spans="1:10" x14ac:dyDescent="0.25">
      <c r="C6" s="128"/>
      <c r="D6" s="135"/>
      <c r="F6" t="str">
        <f>F5</f>
        <v>Mentor flights, accommodation &amp; meals</v>
      </c>
      <c r="G6" t="str">
        <f>B7</f>
        <v>Accommodation/Meals</v>
      </c>
      <c r="H6" s="1">
        <f>'Mentor flights,accom,meals'!L17</f>
        <v>108000</v>
      </c>
      <c r="I6" s="128">
        <f>H6+H5</f>
        <v>207000</v>
      </c>
      <c r="J6" s="138">
        <f>I6/$I$41</f>
        <v>0.30344733766740178</v>
      </c>
    </row>
    <row r="7" spans="1:10" x14ac:dyDescent="0.25">
      <c r="A7" t="s">
        <v>106</v>
      </c>
      <c r="B7" t="s">
        <v>105</v>
      </c>
      <c r="C7" s="128">
        <f>'Student transport,accom,meals'!D14+'Student transport,accom,meals'!D25+'Student transport,accom,meals'!D36</f>
        <v>234000</v>
      </c>
      <c r="D7" s="135">
        <f>C7/$C$41</f>
        <v>0.33473904659453085</v>
      </c>
      <c r="F7" s="68"/>
      <c r="G7" s="68"/>
      <c r="H7" s="123"/>
      <c r="I7" s="68"/>
      <c r="J7" s="140"/>
    </row>
    <row r="8" spans="1:10" x14ac:dyDescent="0.25">
      <c r="A8" s="68"/>
      <c r="B8" s="68"/>
      <c r="C8" s="123"/>
      <c r="D8" s="136"/>
      <c r="F8" t="str">
        <f>'Out-of-pockets Three Judges'!A1</f>
        <v>Out-of-pockets Three Challenge Judges</v>
      </c>
      <c r="G8" t="s">
        <v>110</v>
      </c>
      <c r="H8" s="1">
        <f>'Out-of-pockets Three Judges'!J10</f>
        <v>8250</v>
      </c>
    </row>
    <row r="9" spans="1:10" x14ac:dyDescent="0.25">
      <c r="C9" s="128"/>
      <c r="D9" s="135"/>
      <c r="F9" t="str">
        <f>'Out-of-pockets Three Judges'!A1</f>
        <v>Out-of-pockets Three Challenge Judges</v>
      </c>
      <c r="G9" t="str">
        <f>G6</f>
        <v>Accommodation/Meals</v>
      </c>
      <c r="H9" s="1">
        <f>'Out-of-pockets Three Judges'!K10</f>
        <v>16200</v>
      </c>
      <c r="I9" s="128">
        <f>H9+H8</f>
        <v>24450</v>
      </c>
      <c r="J9" s="138">
        <f>I9/$I$41</f>
        <v>3.5841968144772821E-2</v>
      </c>
    </row>
    <row r="10" spans="1:10" x14ac:dyDescent="0.25">
      <c r="C10" s="128"/>
      <c r="D10" s="135"/>
      <c r="F10" s="68"/>
      <c r="G10" s="68"/>
      <c r="H10" s="123"/>
      <c r="I10" s="68"/>
      <c r="J10" s="140"/>
    </row>
    <row r="11" spans="1:10" x14ac:dyDescent="0.25">
      <c r="C11" s="128"/>
      <c r="D11" s="135"/>
      <c r="F11" t="str">
        <f>'Out-of-pockets 20 WOOs'!A1</f>
        <v>Out-of-pockets for 20 Wise Old Owls</v>
      </c>
      <c r="G11" t="str">
        <f>'Out-of-pockets 20 WOOs'!E3</f>
        <v>Travelling</v>
      </c>
      <c r="H11" s="1">
        <f>'Out-of-pockets 20 WOOs'!F7</f>
        <v>6000</v>
      </c>
    </row>
    <row r="12" spans="1:10" x14ac:dyDescent="0.25">
      <c r="C12" s="128"/>
      <c r="D12" s="135"/>
      <c r="F12" t="str">
        <f>'Out-of-pockets 20 WOOs'!A1</f>
        <v>Out-of-pockets for 20 Wise Old Owls</v>
      </c>
      <c r="G12" t="str">
        <f>'Out-of-pockets 20 WOOs'!C3</f>
        <v>Mobile 'phone calls</v>
      </c>
      <c r="H12" s="1">
        <f>'Out-of-pockets 20 WOOs'!D7</f>
        <v>6000</v>
      </c>
      <c r="I12" s="128">
        <f>H12+H11</f>
        <v>12000</v>
      </c>
      <c r="J12" s="138">
        <f>I12/$I$41</f>
        <v>1.7591150009704452E-2</v>
      </c>
    </row>
    <row r="13" spans="1:10" x14ac:dyDescent="0.25">
      <c r="A13" t="s">
        <v>3</v>
      </c>
      <c r="B13" t="s">
        <v>103</v>
      </c>
      <c r="C13" s="128">
        <f>'3Challenge,equip,cloth,computer'!N22</f>
        <v>42350</v>
      </c>
      <c r="D13" s="135">
        <f>C13/$C$41</f>
        <v>6.0582045398625564E-2</v>
      </c>
      <c r="F13" s="68"/>
      <c r="G13" s="68"/>
      <c r="H13" s="123"/>
      <c r="I13" s="68"/>
      <c r="J13" s="140"/>
    </row>
    <row r="14" spans="1:10" x14ac:dyDescent="0.25">
      <c r="C14" s="128"/>
      <c r="D14" s="135"/>
      <c r="F14" t="s">
        <v>212</v>
      </c>
      <c r="G14" t="s">
        <v>110</v>
      </c>
      <c r="H14" s="1">
        <f>'O-o-P_6_RegionlTeamsCo-ord'!E6</f>
        <v>5500</v>
      </c>
    </row>
    <row r="15" spans="1:10" x14ac:dyDescent="0.25">
      <c r="A15" t="str">
        <f>A13</f>
        <v>First Year</v>
      </c>
      <c r="B15" t="s">
        <v>104</v>
      </c>
      <c r="C15" s="128">
        <f>'3Challenge,equip,cloth,computer'!M22</f>
        <v>36960</v>
      </c>
      <c r="D15" s="135">
        <f>C15/$C$41</f>
        <v>5.2871603256982314E-2</v>
      </c>
      <c r="F15" t="str">
        <f>F14</f>
        <v>Out-of-pockets 6 Applicant Interviewers</v>
      </c>
      <c r="G15" t="s">
        <v>151</v>
      </c>
      <c r="H15" s="1">
        <f>'O-o-P_6_RegionlTeamsCo-ord'!H6</f>
        <v>2000</v>
      </c>
    </row>
    <row r="16" spans="1:10" x14ac:dyDescent="0.25">
      <c r="C16" s="128"/>
      <c r="D16" s="135"/>
      <c r="F16" t="str">
        <f>F15</f>
        <v>Out-of-pockets 6 Applicant Interviewers</v>
      </c>
      <c r="G16" t="s">
        <v>152</v>
      </c>
      <c r="H16" s="1">
        <f>'O-o-P_6_RegionlTeamsCo-ord'!K6</f>
        <v>8000</v>
      </c>
    </row>
    <row r="17" spans="1:12" x14ac:dyDescent="0.25">
      <c r="C17" s="128"/>
      <c r="D17" s="135"/>
      <c r="F17" t="str">
        <f>F16</f>
        <v>Out-of-pockets 6 Applicant Interviewers</v>
      </c>
      <c r="G17" t="s">
        <v>153</v>
      </c>
      <c r="H17" s="1">
        <f>'O-o-P_6_RegionlTeamsCo-ord'!N6</f>
        <v>4000</v>
      </c>
    </row>
    <row r="18" spans="1:12" ht="24.75" customHeight="1" x14ac:dyDescent="0.25">
      <c r="A18" t="s">
        <v>4</v>
      </c>
      <c r="B18" s="66" t="s">
        <v>122</v>
      </c>
      <c r="C18" s="128">
        <f>'3Challenge,equip,cloth,computer'!O27</f>
        <v>39962</v>
      </c>
      <c r="D18" s="135">
        <f>C18/$C$41</f>
        <v>5.7165990512865993E-2</v>
      </c>
      <c r="F18" t="str">
        <f>F17</f>
        <v>Out-of-pockets 6 Applicant Interviewers</v>
      </c>
      <c r="G18" t="str">
        <f>'O-o-P_6_RegionlTeamsCo-ord'!S5</f>
        <v>Mobile phone calls</v>
      </c>
      <c r="H18" s="1">
        <f>'O-o-P_6_RegionlTeamsCo-ord'!O6</f>
        <v>500</v>
      </c>
    </row>
    <row r="19" spans="1:12" x14ac:dyDescent="0.25">
      <c r="F19" t="str">
        <f>'O-o-P_6_RegionlTeamsCo-ord'!A2</f>
        <v>Out-of-pockets 6 Regional Schools Teams Co-ordinators</v>
      </c>
      <c r="G19" t="str">
        <f>'O-o-P_6_RegionlTeamsCo-ord'!S5</f>
        <v>Mobile phone calls</v>
      </c>
      <c r="H19" s="12">
        <f>'O-o-P_6_RegionlTeamsCo-ord'!S13*'O-o-P_6_RegionlTeamsCo-ord'!R6</f>
        <v>1677.6000000000001</v>
      </c>
    </row>
    <row r="20" spans="1:12" x14ac:dyDescent="0.25">
      <c r="A20" t="s">
        <v>5</v>
      </c>
      <c r="B20" t="s">
        <v>102</v>
      </c>
      <c r="C20" s="1">
        <f>'3Challenge,equip,cloth,computer'!L31</f>
        <v>69300</v>
      </c>
      <c r="D20" s="135">
        <f>C20/$C$41</f>
        <v>9.9134256106841831E-2</v>
      </c>
      <c r="F20" t="str">
        <f>F19</f>
        <v>Out-of-pockets 6 Regional Schools Teams Co-ordinators</v>
      </c>
      <c r="G20" t="str">
        <f>'O-o-P_6_RegionlTeamsCo-ord'!T5</f>
        <v>Skype</v>
      </c>
      <c r="H20" s="1">
        <f>'O-o-P_6_RegionlTeamsCo-ord'!T13*'O-o-P_6_RegionlTeamsCo-ord'!R8</f>
        <v>279.60000000000002</v>
      </c>
    </row>
    <row r="21" spans="1:12" x14ac:dyDescent="0.25">
      <c r="D21" s="135"/>
      <c r="F21" t="str">
        <f t="shared" ref="F21" si="0">F20</f>
        <v>Out-of-pockets 6 Regional Schools Teams Co-ordinators</v>
      </c>
      <c r="G21" t="str">
        <f>'O-o-P_6_RegionlTeamsCo-ord'!U5</f>
        <v>Home internet access</v>
      </c>
      <c r="H21" s="1">
        <f>'O-o-P_6_RegionlTeamsCo-ord'!U13*'O-o-P_6_RegionlTeamsCo-ord'!R10</f>
        <v>4194</v>
      </c>
      <c r="I21" s="1">
        <f>SUM(H14:H21)</f>
        <v>26151.199999999997</v>
      </c>
      <c r="J21" s="138">
        <f>SUM(I14:I21)/$I$41</f>
        <v>3.8335806844481915E-2</v>
      </c>
      <c r="L21" s="1"/>
    </row>
    <row r="22" spans="1:12" ht="41.25" customHeight="1" x14ac:dyDescent="0.25">
      <c r="B22" s="66" t="str">
        <f>'3Challenge,equip,cloth,computer'!B33</f>
        <v>Teams Internet access at local library and two other dedicated locations</v>
      </c>
      <c r="C22" s="1">
        <f>'3Challenge,equip,cloth,computer'!L33</f>
        <v>60480</v>
      </c>
      <c r="D22" s="135">
        <f>C22/$C$41</f>
        <v>8.6517168965971059E-2</v>
      </c>
      <c r="F22" s="68"/>
      <c r="G22" s="68"/>
      <c r="H22" s="123"/>
      <c r="I22" s="123"/>
      <c r="J22" s="140"/>
    </row>
    <row r="23" spans="1:12" ht="27" customHeight="1" x14ac:dyDescent="0.25">
      <c r="F23" t="str">
        <f>'Out-of-pockets_Local_Connectors'!A1</f>
        <v>Out-of-pockets for 30 Local 'Connectors'</v>
      </c>
      <c r="G23" s="66" t="str">
        <f>'Out-of-pockets_Local_Connectors'!H3</f>
        <v>Flight,Accomm, Meals 10 LCs p.a.</v>
      </c>
      <c r="I23" s="1">
        <f>'Out-of-pockets_Local_Connectors'!H7</f>
        <v>36900</v>
      </c>
    </row>
    <row r="25" spans="1:12" x14ac:dyDescent="0.25">
      <c r="F25" t="str">
        <f>'Out-of-pockets_Local_Connectors'!A1</f>
        <v>Out-of-pockets for 30 Local 'Connectors'</v>
      </c>
      <c r="G25" t="str">
        <f>'Out-of-pockets_Local_Connectors'!M3</f>
        <v>Travelling</v>
      </c>
      <c r="H25" s="1">
        <f>'Out-of-pockets_Local_Connectors'!N7</f>
        <v>1500</v>
      </c>
    </row>
    <row r="27" spans="1:12" x14ac:dyDescent="0.25">
      <c r="F27" t="str">
        <f>F25</f>
        <v>Out-of-pockets for 30 Local 'Connectors'</v>
      </c>
      <c r="G27" t="s">
        <v>128</v>
      </c>
      <c r="H27" s="1">
        <f>'Out-of-pockets_Local_Connectors'!L7</f>
        <v>13500</v>
      </c>
    </row>
    <row r="29" spans="1:12" x14ac:dyDescent="0.25">
      <c r="F29" t="str">
        <f>F25</f>
        <v>Out-of-pockets for 30 Local 'Connectors'</v>
      </c>
      <c r="G29" t="str">
        <f>'Out-of-pockets_Local_Connectors'!I3</f>
        <v>Mobile 'phone calls</v>
      </c>
      <c r="H29" s="1">
        <f>'Out-of-pockets_Local_Connectors'!J7</f>
        <v>3000</v>
      </c>
      <c r="I29" s="128">
        <f>H29+H27+H25</f>
        <v>18000</v>
      </c>
      <c r="J29" s="138">
        <f>I29/$I$41</f>
        <v>2.6386725014556679E-2</v>
      </c>
    </row>
    <row r="30" spans="1:12" x14ac:dyDescent="0.25">
      <c r="I30" s="128"/>
    </row>
    <row r="31" spans="1:12" x14ac:dyDescent="0.25">
      <c r="F31" t="str">
        <f>'Summary Budget item costs'!A23</f>
        <v>1st Year 10 x Younger Corporate Sponsor Sports Employees</v>
      </c>
      <c r="G31" t="s">
        <v>278</v>
      </c>
      <c r="I31" s="128">
        <f>'Summary Budget item costs'!C23</f>
        <v>12700</v>
      </c>
    </row>
    <row r="32" spans="1:12" x14ac:dyDescent="0.25">
      <c r="F32" t="s">
        <v>48</v>
      </c>
      <c r="I32" s="128"/>
    </row>
    <row r="33" spans="1:16" x14ac:dyDescent="0.25">
      <c r="F33" t="str">
        <f>'Summary Budget item costs'!A25</f>
        <v>2nd &amp; 3rd Year Regional Team Co-Ordinators</v>
      </c>
      <c r="G33" t="str">
        <f>G31</f>
        <v>Attending Annual Challenge</v>
      </c>
      <c r="I33" s="128">
        <f>'Summary Budget item costs'!C25</f>
        <v>14520</v>
      </c>
    </row>
    <row r="34" spans="1:16" x14ac:dyDescent="0.25">
      <c r="I34" s="128"/>
    </row>
    <row r="35" spans="1:16" x14ac:dyDescent="0.25">
      <c r="F35" t="str">
        <f>'10_LocalConnectorLabourCost'!A3</f>
        <v>10 x Local Connector 35 weeks labour costs</v>
      </c>
      <c r="I35" s="128">
        <f>'10_LocalConnectorLabourCost'!M8</f>
        <v>294000</v>
      </c>
    </row>
    <row r="36" spans="1:16" x14ac:dyDescent="0.25">
      <c r="F36" s="68"/>
      <c r="G36" s="68"/>
      <c r="H36" s="123"/>
      <c r="I36" s="68"/>
      <c r="J36" s="140"/>
    </row>
    <row r="37" spans="1:16" x14ac:dyDescent="0.25">
      <c r="F37" t="str">
        <f>'Website Development'!A2</f>
        <v>Website Development</v>
      </c>
      <c r="I37" s="129">
        <f>'Website Development'!B10</f>
        <v>25440</v>
      </c>
      <c r="J37" s="138">
        <f>I37/$I$41</f>
        <v>3.7293238020573438E-2</v>
      </c>
    </row>
    <row r="38" spans="1:16" x14ac:dyDescent="0.25">
      <c r="H38" s="123"/>
      <c r="I38" s="68"/>
      <c r="J38" s="140"/>
    </row>
    <row r="39" spans="1:16" x14ac:dyDescent="0.25">
      <c r="F39" t="str">
        <f>'20 Work Experience flight costs'!A1</f>
        <v>20 Work Experience Recipients flight costs</v>
      </c>
      <c r="H39" s="123"/>
      <c r="I39" s="123">
        <f>'20 Work Experience flight costs'!E4</f>
        <v>11000</v>
      </c>
      <c r="J39" s="140"/>
    </row>
    <row r="40" spans="1:16" x14ac:dyDescent="0.25">
      <c r="F40" s="68"/>
      <c r="G40" s="68"/>
      <c r="H40" s="123"/>
      <c r="I40" s="68"/>
      <c r="J40" s="140"/>
    </row>
    <row r="41" spans="1:16" ht="12.75" x14ac:dyDescent="0.2">
      <c r="A41" t="s">
        <v>7</v>
      </c>
      <c r="C41" s="1">
        <f>SUM(C3:C40)</f>
        <v>699052</v>
      </c>
      <c r="D41" s="137">
        <f>SUM(D4:D38)</f>
        <v>1</v>
      </c>
      <c r="I41" s="1">
        <f>SUM(I3:I40)</f>
        <v>682161.2</v>
      </c>
      <c r="J41" s="137">
        <f>SUM(J4:J38)</f>
        <v>0.45889622570149108</v>
      </c>
      <c r="K41" s="1">
        <f>C41+I41</f>
        <v>1381213.2</v>
      </c>
    </row>
    <row r="42" spans="1:16" x14ac:dyDescent="0.25">
      <c r="C42" s="130">
        <f>C41/$K$41</f>
        <v>0.50611447964731293</v>
      </c>
      <c r="I42" s="130">
        <f>I41/$K$41</f>
        <v>0.49388552035268701</v>
      </c>
      <c r="J42" s="133"/>
    </row>
    <row r="43" spans="1:16" x14ac:dyDescent="0.25">
      <c r="K43" s="1">
        <f>'Summary Costs &amp; Receipts'!AT19</f>
        <v>1417213.2</v>
      </c>
      <c r="L43" t="str">
        <f>'Summary Costs &amp; Receipts'!A1</f>
        <v>Summary Costs &amp; Receipts</v>
      </c>
    </row>
    <row r="44" spans="1:16" x14ac:dyDescent="0.25">
      <c r="K44" s="1">
        <f>'Summary Costs &amp; Receipts'!AR19</f>
        <v>30000</v>
      </c>
      <c r="L44" t="s">
        <v>78</v>
      </c>
    </row>
    <row r="45" spans="1:16" x14ac:dyDescent="0.25">
      <c r="K45" s="1">
        <f>K43-K44</f>
        <v>1387213.2</v>
      </c>
      <c r="L45" t="str">
        <f>L43</f>
        <v>Summary Costs &amp; Receipts</v>
      </c>
      <c r="O45" t="s">
        <v>121</v>
      </c>
      <c r="P45" t="str">
        <f>L44</f>
        <v>Contingency</v>
      </c>
    </row>
    <row r="46" spans="1:16" x14ac:dyDescent="0.25">
      <c r="K46" s="1">
        <f>K41-K45</f>
        <v>-6000</v>
      </c>
      <c r="L46" t="s">
        <v>118</v>
      </c>
    </row>
    <row r="47" spans="1:16" x14ac:dyDescent="0.25">
      <c r="K47" s="1"/>
    </row>
    <row r="48" spans="1:16" x14ac:dyDescent="0.25">
      <c r="K48" s="131">
        <f>'Summary Costs &amp; Receipts'!AY19-K41</f>
        <v>118786.80000000005</v>
      </c>
      <c r="L48" s="132" t="s">
        <v>101</v>
      </c>
    </row>
    <row r="49" spans="11:11" x14ac:dyDescent="0.25">
      <c r="K49" t="s">
        <v>249</v>
      </c>
    </row>
    <row r="50" spans="11:11" x14ac:dyDescent="0.25">
      <c r="K50" s="1"/>
    </row>
    <row r="51" spans="11:11" x14ac:dyDescent="0.25">
      <c r="K51" s="1"/>
    </row>
    <row r="52" spans="11:11" x14ac:dyDescent="0.25">
      <c r="K52" s="1"/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opLeftCell="A31" workbookViewId="0">
      <selection activeCell="E37" sqref="E37"/>
    </sheetView>
  </sheetViews>
  <sheetFormatPr defaultRowHeight="12.75" x14ac:dyDescent="0.2"/>
  <cols>
    <col min="1" max="1" width="21.140625" customWidth="1"/>
    <col min="2" max="2" width="16.42578125" bestFit="1" customWidth="1"/>
    <col min="5" max="5" width="10.140625" customWidth="1"/>
    <col min="6" max="6" width="13.28515625" customWidth="1"/>
    <col min="11" max="11" width="12.85546875" customWidth="1"/>
    <col min="12" max="12" width="2.42578125" style="68" customWidth="1"/>
    <col min="13" max="13" width="10.140625" bestFit="1" customWidth="1"/>
  </cols>
  <sheetData>
    <row r="1" spans="1:11" ht="17.25" x14ac:dyDescent="0.3">
      <c r="B1" s="6" t="s">
        <v>28</v>
      </c>
      <c r="H1" s="6" t="s">
        <v>48</v>
      </c>
    </row>
    <row r="2" spans="1:11" ht="17.25" x14ac:dyDescent="0.3">
      <c r="A2" s="36" t="s">
        <v>94</v>
      </c>
      <c r="H2" s="6"/>
    </row>
    <row r="3" spans="1:11" ht="17.25" x14ac:dyDescent="0.3">
      <c r="A3" t="s">
        <v>37</v>
      </c>
      <c r="B3" s="6"/>
      <c r="H3" s="6"/>
    </row>
    <row r="4" spans="1:11" ht="17.25" x14ac:dyDescent="0.3">
      <c r="A4" t="s">
        <v>95</v>
      </c>
      <c r="B4" s="6"/>
      <c r="H4" s="6"/>
    </row>
    <row r="5" spans="1:11" ht="14.25" customHeight="1" x14ac:dyDescent="0.3">
      <c r="B5" s="6"/>
      <c r="E5" s="7" t="s">
        <v>7</v>
      </c>
      <c r="H5" t="s">
        <v>48</v>
      </c>
    </row>
    <row r="6" spans="1:11" ht="15" x14ac:dyDescent="0.25">
      <c r="A6" s="116" t="s">
        <v>3</v>
      </c>
      <c r="B6" s="5" t="s">
        <v>1</v>
      </c>
      <c r="H6" s="3" t="s">
        <v>48</v>
      </c>
    </row>
    <row r="7" spans="1:11" ht="15" x14ac:dyDescent="0.3">
      <c r="B7" t="s">
        <v>158</v>
      </c>
    </row>
    <row r="8" spans="1:11" x14ac:dyDescent="0.2">
      <c r="D8" s="1">
        <f>120*(550+(8*90))</f>
        <v>152400</v>
      </c>
    </row>
    <row r="10" spans="1:11" x14ac:dyDescent="0.2">
      <c r="B10" s="3" t="s">
        <v>0</v>
      </c>
    </row>
    <row r="11" spans="1:11" x14ac:dyDescent="0.2">
      <c r="B11" s="2">
        <v>120</v>
      </c>
    </row>
    <row r="12" spans="1:11" x14ac:dyDescent="0.2">
      <c r="A12" s="107" t="s">
        <v>83</v>
      </c>
      <c r="B12" s="1">
        <v>550</v>
      </c>
      <c r="C12" s="1">
        <f>B12</f>
        <v>550</v>
      </c>
      <c r="D12" s="117">
        <f>B11*C12</f>
        <v>66000</v>
      </c>
    </row>
    <row r="13" spans="1:11" x14ac:dyDescent="0.2">
      <c r="B13" s="167">
        <v>8</v>
      </c>
      <c r="C13" s="1"/>
      <c r="D13" s="1"/>
    </row>
    <row r="14" spans="1:11" x14ac:dyDescent="0.2">
      <c r="A14" t="s">
        <v>84</v>
      </c>
      <c r="B14" s="4">
        <v>90</v>
      </c>
      <c r="C14" s="1">
        <f>B14*B13</f>
        <v>720</v>
      </c>
      <c r="D14" s="117">
        <f>B11*C14</f>
        <v>86400</v>
      </c>
      <c r="E14" s="117">
        <f>D14+D12</f>
        <v>152400</v>
      </c>
    </row>
    <row r="15" spans="1:11" x14ac:dyDescent="0.2">
      <c r="C15" s="1">
        <f>C12+C14</f>
        <v>1270</v>
      </c>
      <c r="D15" s="1">
        <f>C15*B11</f>
        <v>152400</v>
      </c>
    </row>
    <row r="16" spans="1:11" x14ac:dyDescent="0.2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</row>
    <row r="17" spans="1:11" ht="15" x14ac:dyDescent="0.25">
      <c r="A17" s="116" t="s">
        <v>4</v>
      </c>
      <c r="B17" s="5" t="s">
        <v>2</v>
      </c>
    </row>
    <row r="18" spans="1:11" ht="15" x14ac:dyDescent="0.3">
      <c r="B18" t="s">
        <v>159</v>
      </c>
    </row>
    <row r="19" spans="1:11" x14ac:dyDescent="0.2">
      <c r="D19" s="1">
        <f>120*(550+(7*90))</f>
        <v>141600</v>
      </c>
    </row>
    <row r="21" spans="1:11" x14ac:dyDescent="0.2">
      <c r="B21" s="3" t="s">
        <v>0</v>
      </c>
    </row>
    <row r="22" spans="1:11" x14ac:dyDescent="0.2">
      <c r="B22" s="2">
        <v>120</v>
      </c>
    </row>
    <row r="23" spans="1:11" x14ac:dyDescent="0.2">
      <c r="A23" s="107" t="str">
        <f>A12</f>
        <v>Transport</v>
      </c>
      <c r="B23" s="1">
        <f>B12</f>
        <v>550</v>
      </c>
      <c r="C23" s="1">
        <f>B23</f>
        <v>550</v>
      </c>
      <c r="D23" s="117">
        <f>B22*C23</f>
        <v>66000</v>
      </c>
    </row>
    <row r="24" spans="1:11" x14ac:dyDescent="0.2">
      <c r="B24" s="168">
        <v>7</v>
      </c>
      <c r="C24" s="1"/>
      <c r="D24" s="1"/>
    </row>
    <row r="25" spans="1:11" x14ac:dyDescent="0.2">
      <c r="A25" t="s">
        <v>84</v>
      </c>
      <c r="B25" s="4">
        <v>90</v>
      </c>
      <c r="C25" s="1">
        <f>B25*B24</f>
        <v>630</v>
      </c>
      <c r="D25" s="117">
        <f>B22*C25</f>
        <v>75600</v>
      </c>
      <c r="E25" s="117">
        <f>D25+D23</f>
        <v>141600</v>
      </c>
    </row>
    <row r="26" spans="1:11" x14ac:dyDescent="0.2">
      <c r="C26" s="1">
        <f>C23+C25</f>
        <v>1180</v>
      </c>
      <c r="D26" s="1">
        <f>C26*B22</f>
        <v>141600</v>
      </c>
    </row>
    <row r="27" spans="1:11" x14ac:dyDescent="0.2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</row>
    <row r="28" spans="1:11" ht="15" x14ac:dyDescent="0.25">
      <c r="A28" s="116" t="s">
        <v>5</v>
      </c>
      <c r="B28" s="5" t="s">
        <v>6</v>
      </c>
    </row>
    <row r="29" spans="1:11" ht="15" x14ac:dyDescent="0.3">
      <c r="B29" t="s">
        <v>160</v>
      </c>
    </row>
    <row r="30" spans="1:11" x14ac:dyDescent="0.2">
      <c r="D30" s="1">
        <f>120*(700+(6*100))</f>
        <v>156000</v>
      </c>
    </row>
    <row r="32" spans="1:11" x14ac:dyDescent="0.2">
      <c r="B32" s="3" t="s">
        <v>0</v>
      </c>
    </row>
    <row r="33" spans="1:13" x14ac:dyDescent="0.2">
      <c r="B33" s="2">
        <v>120</v>
      </c>
    </row>
    <row r="34" spans="1:13" x14ac:dyDescent="0.2">
      <c r="A34" s="107" t="str">
        <f>A23</f>
        <v>Transport</v>
      </c>
      <c r="B34" s="1">
        <v>700</v>
      </c>
      <c r="C34" s="1">
        <f>B34</f>
        <v>700</v>
      </c>
      <c r="D34" s="117">
        <f>B33*C34</f>
        <v>84000</v>
      </c>
    </row>
    <row r="35" spans="1:13" x14ac:dyDescent="0.2">
      <c r="B35" s="169">
        <v>6</v>
      </c>
      <c r="C35" s="1"/>
      <c r="D35" s="1"/>
    </row>
    <row r="36" spans="1:13" x14ac:dyDescent="0.2">
      <c r="A36" t="s">
        <v>84</v>
      </c>
      <c r="B36" s="4">
        <v>100</v>
      </c>
      <c r="C36" s="1">
        <f>B36*B35</f>
        <v>600</v>
      </c>
      <c r="D36" s="117">
        <f>B33*C36</f>
        <v>72000</v>
      </c>
      <c r="E36" s="117">
        <f>D36+D34</f>
        <v>156000</v>
      </c>
      <c r="H36" t="s">
        <v>48</v>
      </c>
    </row>
    <row r="37" spans="1:13" x14ac:dyDescent="0.2">
      <c r="C37" s="1">
        <f>C34+C36</f>
        <v>1300</v>
      </c>
      <c r="D37" s="1">
        <f>C37*B33</f>
        <v>156000</v>
      </c>
      <c r="E37" s="1">
        <f>D15+D26+D37</f>
        <v>450000</v>
      </c>
      <c r="H37" s="10" t="s">
        <v>48</v>
      </c>
      <c r="K37" s="12" t="s">
        <v>48</v>
      </c>
      <c r="M37" s="1" t="s">
        <v>48</v>
      </c>
    </row>
    <row r="38" spans="1:13" x14ac:dyDescent="0.2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</row>
  </sheetData>
  <hyperlinks>
    <hyperlink ref="B6" r:id="rId1" display="../3TeamChall/1/Year_9_Mixed_Teams_Tri-Sports_Challenge.htm"/>
    <hyperlink ref="B17" r:id="rId2" display="../3TeamChall/2/Year10MixedTeamsPublicSpeakingChallenge.htm"/>
    <hyperlink ref="B28" r:id="rId3" display="../3TeamChall/3/Year_11_Teams'_I.T._Geek_Challenge.htm"/>
  </hyperlinks>
  <pageMargins left="0.7" right="0.7" top="0.75" bottom="0.75" header="0.3" footer="0.3"/>
  <pageSetup paperSize="9" orientation="portrait" horizontalDpi="0" verticalDpi="0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6"/>
  <sheetViews>
    <sheetView topLeftCell="A25" workbookViewId="0">
      <selection activeCell="B5" sqref="B5"/>
    </sheetView>
  </sheetViews>
  <sheetFormatPr defaultRowHeight="12.75" x14ac:dyDescent="0.2"/>
  <cols>
    <col min="1" max="1" width="4.42578125" customWidth="1"/>
    <col min="2" max="2" width="45.5703125" customWidth="1"/>
    <col min="4" max="4" width="10" bestFit="1" customWidth="1"/>
    <col min="5" max="5" width="10.85546875" customWidth="1"/>
    <col min="7" max="7" width="12.85546875" bestFit="1" customWidth="1"/>
    <col min="8" max="8" width="13.5703125" bestFit="1" customWidth="1"/>
    <col min="10" max="10" width="7.85546875" customWidth="1"/>
    <col min="13" max="13" width="11.140625" customWidth="1"/>
    <col min="14" max="14" width="9.5703125" customWidth="1"/>
  </cols>
  <sheetData>
    <row r="3" spans="1:15" ht="17.25" x14ac:dyDescent="0.3">
      <c r="B3" s="6" t="s">
        <v>10</v>
      </c>
    </row>
    <row r="4" spans="1:15" ht="27" x14ac:dyDescent="0.3">
      <c r="B4" s="11" t="s">
        <v>1</v>
      </c>
      <c r="C4" s="11" t="s">
        <v>18</v>
      </c>
      <c r="M4" s="67" t="s">
        <v>119</v>
      </c>
      <c r="N4" s="67" t="s">
        <v>120</v>
      </c>
    </row>
    <row r="5" spans="1:15" x14ac:dyDescent="0.2">
      <c r="A5">
        <f>140+14</f>
        <v>154</v>
      </c>
      <c r="B5" s="9" t="s">
        <v>9</v>
      </c>
      <c r="K5" s="12">
        <v>22</v>
      </c>
      <c r="L5" s="12">
        <f>A5*K5</f>
        <v>3388</v>
      </c>
    </row>
    <row r="6" spans="1:15" x14ac:dyDescent="0.2">
      <c r="A6">
        <f>A5</f>
        <v>154</v>
      </c>
      <c r="B6" s="8" t="s">
        <v>11</v>
      </c>
      <c r="K6" s="12">
        <v>80</v>
      </c>
      <c r="L6" s="12">
        <f>A6*K6</f>
        <v>12320</v>
      </c>
      <c r="M6" s="12">
        <f>L6+L5</f>
        <v>15708</v>
      </c>
      <c r="N6" s="12"/>
    </row>
    <row r="7" spans="1:15" x14ac:dyDescent="0.2">
      <c r="A7">
        <f>A6</f>
        <v>154</v>
      </c>
      <c r="B7" s="10" t="s">
        <v>12</v>
      </c>
      <c r="K7" s="12">
        <v>95</v>
      </c>
      <c r="L7" s="12">
        <f>A7*K7</f>
        <v>14630</v>
      </c>
      <c r="N7" s="12">
        <f>L7</f>
        <v>14630</v>
      </c>
      <c r="O7" s="12">
        <f>L7+L6+L5</f>
        <v>30338</v>
      </c>
    </row>
    <row r="8" spans="1:15" x14ac:dyDescent="0.2">
      <c r="B8" t="s">
        <v>14</v>
      </c>
    </row>
    <row r="11" spans="1:15" x14ac:dyDescent="0.2">
      <c r="A11">
        <f>A5</f>
        <v>154</v>
      </c>
      <c r="B11" t="s">
        <v>19</v>
      </c>
      <c r="K11" s="12">
        <v>50</v>
      </c>
      <c r="L11" s="12">
        <f>A11*K11</f>
        <v>7700</v>
      </c>
    </row>
    <row r="12" spans="1:15" x14ac:dyDescent="0.2">
      <c r="A12">
        <f>A6</f>
        <v>154</v>
      </c>
      <c r="B12" t="s">
        <v>22</v>
      </c>
      <c r="K12" s="12">
        <v>8</v>
      </c>
      <c r="L12" s="12">
        <f>A12*K12</f>
        <v>1232</v>
      </c>
      <c r="M12" s="12">
        <f>L12+L11</f>
        <v>8932</v>
      </c>
      <c r="N12" s="12"/>
    </row>
    <row r="13" spans="1:15" x14ac:dyDescent="0.2">
      <c r="A13">
        <f>A7</f>
        <v>154</v>
      </c>
      <c r="B13" s="10" t="s">
        <v>13</v>
      </c>
      <c r="K13" s="12">
        <f>K7-10</f>
        <v>85</v>
      </c>
      <c r="L13" s="12">
        <f>A13*K13</f>
        <v>13090</v>
      </c>
      <c r="N13" s="12">
        <f>L13</f>
        <v>13090</v>
      </c>
      <c r="O13" s="12">
        <f>L13+L12+L11</f>
        <v>22022</v>
      </c>
    </row>
    <row r="14" spans="1:15" x14ac:dyDescent="0.2">
      <c r="B14" t="s">
        <v>15</v>
      </c>
    </row>
    <row r="17" spans="1:17" x14ac:dyDescent="0.2">
      <c r="A17">
        <f>A11</f>
        <v>154</v>
      </c>
      <c r="B17" t="s">
        <v>20</v>
      </c>
      <c r="K17" s="12">
        <v>20</v>
      </c>
      <c r="L17" s="12">
        <f>A17*K17</f>
        <v>3080</v>
      </c>
    </row>
    <row r="18" spans="1:17" x14ac:dyDescent="0.2">
      <c r="A18">
        <f t="shared" ref="A18:A19" si="0">A12</f>
        <v>154</v>
      </c>
      <c r="B18" t="s">
        <v>21</v>
      </c>
      <c r="K18" s="12">
        <v>60</v>
      </c>
      <c r="L18" s="12">
        <f>A18*K18</f>
        <v>9240</v>
      </c>
      <c r="M18" s="12">
        <f>L18+L17</f>
        <v>12320</v>
      </c>
      <c r="N18" s="12"/>
    </row>
    <row r="19" spans="1:17" x14ac:dyDescent="0.2">
      <c r="A19">
        <f t="shared" si="0"/>
        <v>154</v>
      </c>
      <c r="B19" s="10" t="s">
        <v>16</v>
      </c>
      <c r="K19" s="12">
        <f>K7</f>
        <v>95</v>
      </c>
      <c r="L19" s="12">
        <f>A19*K19</f>
        <v>14630</v>
      </c>
      <c r="N19" s="12">
        <f>L19</f>
        <v>14630</v>
      </c>
      <c r="O19" s="12">
        <f>L19+L18+L17</f>
        <v>26950</v>
      </c>
      <c r="P19" s="12">
        <f>O7+O13+O19</f>
        <v>79310</v>
      </c>
    </row>
    <row r="20" spans="1:17" x14ac:dyDescent="0.2">
      <c r="B20" t="s">
        <v>14</v>
      </c>
    </row>
    <row r="21" spans="1:17" x14ac:dyDescent="0.2">
      <c r="Q21" s="12">
        <f>N22-M22</f>
        <v>5390</v>
      </c>
    </row>
    <row r="22" spans="1:17" x14ac:dyDescent="0.2">
      <c r="M22" s="12">
        <f>M6+M12+M18</f>
        <v>36960</v>
      </c>
      <c r="N22" s="12">
        <f>SUM(N5:N19)</f>
        <v>42350</v>
      </c>
      <c r="P22" s="124">
        <f>M22+N22</f>
        <v>79310</v>
      </c>
    </row>
    <row r="23" spans="1:17" ht="17.25" x14ac:dyDescent="0.3">
      <c r="B23" s="11" t="s">
        <v>2</v>
      </c>
    </row>
    <row r="24" spans="1:17" x14ac:dyDescent="0.2">
      <c r="A24">
        <f>A17</f>
        <v>154</v>
      </c>
      <c r="B24" t="s">
        <v>25</v>
      </c>
      <c r="K24" s="12">
        <v>140</v>
      </c>
      <c r="L24" s="12">
        <f>A24*K24</f>
        <v>21560</v>
      </c>
    </row>
    <row r="25" spans="1:17" x14ac:dyDescent="0.2">
      <c r="A25">
        <f>A24</f>
        <v>154</v>
      </c>
      <c r="B25" t="s">
        <v>23</v>
      </c>
      <c r="K25" s="12">
        <v>18</v>
      </c>
      <c r="L25" s="12">
        <f>A25*K25</f>
        <v>2772</v>
      </c>
    </row>
    <row r="26" spans="1:17" x14ac:dyDescent="0.2">
      <c r="A26">
        <f>A25</f>
        <v>154</v>
      </c>
      <c r="B26" t="s">
        <v>26</v>
      </c>
      <c r="K26" s="12">
        <v>95</v>
      </c>
      <c r="L26" s="12">
        <f>A26*K26</f>
        <v>14630</v>
      </c>
    </row>
    <row r="27" spans="1:17" x14ac:dyDescent="0.2">
      <c r="A27">
        <v>10</v>
      </c>
      <c r="B27" t="s">
        <v>17</v>
      </c>
      <c r="K27" s="12">
        <v>100</v>
      </c>
      <c r="L27" s="12">
        <f>A27*K27</f>
        <v>1000</v>
      </c>
      <c r="M27" s="12">
        <f>L27+L26+L25+L24</f>
        <v>39962</v>
      </c>
      <c r="N27" s="12"/>
      <c r="O27" s="124">
        <f>M27</f>
        <v>39962</v>
      </c>
    </row>
    <row r="30" spans="1:17" ht="17.25" x14ac:dyDescent="0.3">
      <c r="B30" s="11" t="s">
        <v>6</v>
      </c>
    </row>
    <row r="31" spans="1:17" x14ac:dyDescent="0.2">
      <c r="A31">
        <f>A24</f>
        <v>154</v>
      </c>
      <c r="B31" t="s">
        <v>99</v>
      </c>
      <c r="K31" s="12">
        <v>450</v>
      </c>
      <c r="L31" s="12">
        <f>A31*K31</f>
        <v>69300</v>
      </c>
    </row>
    <row r="32" spans="1:17" x14ac:dyDescent="0.2">
      <c r="B32" t="s">
        <v>27</v>
      </c>
    </row>
    <row r="33" spans="1:17" x14ac:dyDescent="0.2">
      <c r="A33">
        <v>12</v>
      </c>
      <c r="B33" t="s">
        <v>24</v>
      </c>
      <c r="E33" s="13">
        <v>3</v>
      </c>
      <c r="F33" s="14">
        <v>2</v>
      </c>
      <c r="G33" s="15">
        <v>70</v>
      </c>
      <c r="H33" s="16">
        <v>12</v>
      </c>
      <c r="K33" s="1">
        <f>E33*F33*G33*H33</f>
        <v>5040</v>
      </c>
      <c r="L33" s="12">
        <f>A33*K33</f>
        <v>60480</v>
      </c>
      <c r="M33" s="12">
        <f>L31+L33</f>
        <v>129780</v>
      </c>
      <c r="N33" s="12"/>
      <c r="O33" s="127">
        <f>M33</f>
        <v>129780</v>
      </c>
    </row>
    <row r="34" spans="1:17" x14ac:dyDescent="0.2">
      <c r="O34" s="12" t="s">
        <v>48</v>
      </c>
    </row>
    <row r="36" spans="1:17" x14ac:dyDescent="0.2">
      <c r="M36" s="124">
        <f>SUM(M22:M35)+N22</f>
        <v>249052</v>
      </c>
      <c r="N36" s="12"/>
      <c r="O36" s="12">
        <f>SUM(O5:O33)</f>
        <v>249052</v>
      </c>
      <c r="Q36" s="12">
        <f>O36-M36</f>
        <v>0</v>
      </c>
    </row>
  </sheetData>
  <hyperlinks>
    <hyperlink ref="B23" r:id="rId1" display="../3TeamChall/2/Year10MixedTeamsPublicSpeakingChallenge.htm"/>
    <hyperlink ref="B30" r:id="rId2" display="../3TeamChall/3/Year_11_Teams'_I.T._Geek_Challenge.htm"/>
    <hyperlink ref="B4" r:id="rId3" display="../3TeamChall/1/Year_9_Mixed_Teams_Tri-Sports_Challenge.htm"/>
    <hyperlink ref="C4" r:id="rId4" display="../3TeamChall/1/Three_Mixed_Teams_Sports.htm"/>
  </hyperlinks>
  <pageMargins left="0.7" right="0.7" top="0.75" bottom="0.75" header="0.3" footer="0.3"/>
  <pageSetup paperSize="9" orientation="portrait" horizontalDpi="0" verticalDpi="0"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B7" sqref="B7"/>
    </sheetView>
  </sheetViews>
  <sheetFormatPr defaultRowHeight="12.75" x14ac:dyDescent="0.2"/>
  <cols>
    <col min="1" max="1" width="19.85546875" customWidth="1"/>
    <col min="2" max="2" width="107" customWidth="1"/>
    <col min="3" max="3" width="8.42578125" customWidth="1"/>
    <col min="4" max="4" width="11.140625" customWidth="1"/>
    <col min="5" max="5" width="8.5703125" customWidth="1"/>
    <col min="6" max="6" width="9.85546875" customWidth="1"/>
    <col min="7" max="7" width="6.28515625" customWidth="1"/>
    <col min="8" max="8" width="9.85546875" customWidth="1"/>
    <col min="9" max="9" width="9.5703125" customWidth="1"/>
    <col min="10" max="10" width="12.28515625" customWidth="1"/>
    <col min="11" max="11" width="11.7109375" customWidth="1"/>
    <col min="12" max="12" width="10.5703125" customWidth="1"/>
  </cols>
  <sheetData>
    <row r="1" spans="1:13" ht="15.75" x14ac:dyDescent="0.25">
      <c r="A1" s="85" t="s">
        <v>66</v>
      </c>
    </row>
    <row r="2" spans="1:13" x14ac:dyDescent="0.2">
      <c r="A2" s="34"/>
    </row>
    <row r="3" spans="1:13" ht="64.5" customHeight="1" x14ac:dyDescent="0.25">
      <c r="A3" s="32" t="s">
        <v>36</v>
      </c>
      <c r="B3" s="20" t="s">
        <v>1</v>
      </c>
      <c r="C3" s="38" t="s">
        <v>41</v>
      </c>
      <c r="D3" s="94" t="s">
        <v>42</v>
      </c>
      <c r="E3" s="97" t="s">
        <v>43</v>
      </c>
      <c r="F3" s="39" t="s">
        <v>38</v>
      </c>
      <c r="G3" s="39" t="s">
        <v>161</v>
      </c>
      <c r="H3" s="39" t="s">
        <v>64</v>
      </c>
      <c r="I3" s="39" t="s">
        <v>65</v>
      </c>
      <c r="J3" s="39" t="s">
        <v>107</v>
      </c>
      <c r="K3" s="39" t="s">
        <v>108</v>
      </c>
      <c r="L3" s="39" t="s">
        <v>7</v>
      </c>
      <c r="M3" s="63" t="s">
        <v>47</v>
      </c>
    </row>
    <row r="4" spans="1:13" ht="47.25" customHeight="1" x14ac:dyDescent="0.2">
      <c r="A4" s="33"/>
      <c r="B4" s="17" t="s">
        <v>251</v>
      </c>
      <c r="C4" s="40">
        <v>3</v>
      </c>
      <c r="D4" s="95">
        <v>3</v>
      </c>
      <c r="E4" s="41">
        <v>10</v>
      </c>
      <c r="F4" s="42">
        <v>550</v>
      </c>
      <c r="G4" s="86">
        <f>3+1</f>
        <v>4</v>
      </c>
      <c r="H4" s="42">
        <v>100</v>
      </c>
      <c r="I4" s="42">
        <f>50</f>
        <v>50</v>
      </c>
      <c r="J4" s="42">
        <f>H4+I4</f>
        <v>150</v>
      </c>
      <c r="K4" s="42">
        <f>C4*G4*J4</f>
        <v>1800</v>
      </c>
      <c r="L4" s="42">
        <f>(C4*D4*E4*F4)+(G4*C4*D4*E4*(+H4+I4))</f>
        <v>103500</v>
      </c>
    </row>
    <row r="5" spans="1:13" ht="55.5" customHeight="1" x14ac:dyDescent="0.25">
      <c r="A5" s="30" t="s">
        <v>35</v>
      </c>
      <c r="B5" s="21" t="s">
        <v>2</v>
      </c>
      <c r="C5" s="46" t="str">
        <f>C3</f>
        <v>Mentors</v>
      </c>
      <c r="D5" s="47" t="s">
        <v>44</v>
      </c>
      <c r="E5" s="98" t="str">
        <f t="shared" ref="E5:F7" si="0">E3</f>
        <v>School teams</v>
      </c>
      <c r="F5" s="48" t="str">
        <f t="shared" si="0"/>
        <v>Transport per Mentor</v>
      </c>
      <c r="G5" s="87" t="str">
        <f>G3</f>
        <v>Days (incl 1 day's travel)</v>
      </c>
      <c r="H5" s="48" t="s">
        <v>39</v>
      </c>
      <c r="I5" s="48" t="s">
        <v>40</v>
      </c>
      <c r="J5" s="48" t="str">
        <f>J3</f>
        <v>Daily Accom/Meals per Mentor</v>
      </c>
      <c r="K5" s="48" t="str">
        <f>K3</f>
        <v>Total Accommod-  ation meals</v>
      </c>
      <c r="L5" s="45" t="s">
        <v>7</v>
      </c>
    </row>
    <row r="6" spans="1:13" ht="36.75" customHeight="1" x14ac:dyDescent="0.2">
      <c r="A6" s="31"/>
      <c r="B6" s="18" t="s">
        <v>250</v>
      </c>
      <c r="C6" s="43">
        <v>3</v>
      </c>
      <c r="D6" s="47">
        <v>1</v>
      </c>
      <c r="E6" s="44">
        <f t="shared" si="0"/>
        <v>10</v>
      </c>
      <c r="F6" s="45">
        <f t="shared" si="0"/>
        <v>550</v>
      </c>
      <c r="G6" s="88">
        <f>G4</f>
        <v>4</v>
      </c>
      <c r="H6" s="45">
        <f>H4</f>
        <v>100</v>
      </c>
      <c r="I6" s="45">
        <f>I4</f>
        <v>50</v>
      </c>
      <c r="J6" s="45">
        <f>H6+I6</f>
        <v>150</v>
      </c>
      <c r="K6" s="45">
        <f>C6*G6*J6</f>
        <v>1800</v>
      </c>
      <c r="L6" s="45">
        <f>(C6*D6*E6*F6)+(G6*C6*D6*E6*(+H6+I6))</f>
        <v>34500</v>
      </c>
    </row>
    <row r="7" spans="1:13" ht="54" customHeight="1" x14ac:dyDescent="0.25">
      <c r="A7" s="26" t="s">
        <v>34</v>
      </c>
      <c r="B7" s="27" t="s">
        <v>29</v>
      </c>
      <c r="C7" s="49" t="str">
        <f>C3</f>
        <v>Mentors</v>
      </c>
      <c r="D7" s="96" t="s">
        <v>45</v>
      </c>
      <c r="E7" s="99" t="str">
        <f t="shared" si="0"/>
        <v>School teams</v>
      </c>
      <c r="F7" s="52" t="str">
        <f t="shared" si="0"/>
        <v>Transport per Mentor</v>
      </c>
      <c r="G7" s="89" t="str">
        <f>G3</f>
        <v>Days (incl 1 day's travel)</v>
      </c>
      <c r="H7" s="52" t="str">
        <f>H5</f>
        <v>Accom per Mentor</v>
      </c>
      <c r="I7" s="52" t="str">
        <f>I5</f>
        <v>Meals per Mentor</v>
      </c>
      <c r="J7" s="52" t="str">
        <f>J5</f>
        <v>Daily Accom/Meals per Mentor</v>
      </c>
      <c r="K7" s="52" t="str">
        <f>K3</f>
        <v>Total Accommod-  ation meals</v>
      </c>
      <c r="L7" s="51" t="str">
        <f>L5</f>
        <v>Total</v>
      </c>
    </row>
    <row r="8" spans="1:13" ht="33" customHeight="1" x14ac:dyDescent="0.2">
      <c r="A8" s="28"/>
      <c r="B8" s="29" t="s">
        <v>252</v>
      </c>
      <c r="C8" s="53">
        <v>3</v>
      </c>
      <c r="D8" s="96">
        <v>1</v>
      </c>
      <c r="E8" s="50">
        <f>E4</f>
        <v>10</v>
      </c>
      <c r="F8" s="51">
        <f>F4</f>
        <v>550</v>
      </c>
      <c r="G8" s="90">
        <f>G6</f>
        <v>4</v>
      </c>
      <c r="H8" s="51">
        <f>H4</f>
        <v>100</v>
      </c>
      <c r="I8" s="51">
        <f>I4</f>
        <v>50</v>
      </c>
      <c r="J8" s="51">
        <f>H8+I8</f>
        <v>150</v>
      </c>
      <c r="K8" s="51">
        <f>C8*G8*J8</f>
        <v>1800</v>
      </c>
      <c r="L8" s="51">
        <f>(C8*D8*E8*F8)+(G8*C8*D8*E8*(+H8+I8))</f>
        <v>34500</v>
      </c>
    </row>
    <row r="9" spans="1:13" x14ac:dyDescent="0.2">
      <c r="A9" s="19"/>
      <c r="B9" s="342"/>
      <c r="C9" s="343"/>
      <c r="D9" s="66"/>
      <c r="F9" s="1"/>
      <c r="G9" s="91"/>
      <c r="H9" s="1"/>
      <c r="I9" s="1"/>
      <c r="J9" s="1"/>
      <c r="K9" s="1"/>
      <c r="L9" s="1"/>
    </row>
    <row r="10" spans="1:13" ht="53.25" customHeight="1" x14ac:dyDescent="0.25">
      <c r="A10" s="22" t="s">
        <v>35</v>
      </c>
      <c r="B10" s="23" t="s">
        <v>30</v>
      </c>
      <c r="C10" s="55" t="str">
        <f>C3</f>
        <v>Mentors</v>
      </c>
      <c r="D10" s="54" t="s">
        <v>46</v>
      </c>
      <c r="E10" s="100" t="str">
        <f>E3</f>
        <v>School teams</v>
      </c>
      <c r="F10" s="57" t="str">
        <f>F3</f>
        <v>Transport per Mentor</v>
      </c>
      <c r="G10" s="92" t="str">
        <f>G7</f>
        <v>Days (incl 1 day's travel)</v>
      </c>
      <c r="H10" s="57" t="str">
        <f>H3</f>
        <v>Daily Accom per Mentor</v>
      </c>
      <c r="I10" s="57" t="str">
        <f>I3</f>
        <v>Daily Meals per Mentor</v>
      </c>
      <c r="J10" s="57" t="str">
        <f>J3</f>
        <v>Daily Accom/Meals per Mentor</v>
      </c>
      <c r="K10" s="57" t="str">
        <f>K3</f>
        <v>Total Accommod-  ation meals</v>
      </c>
      <c r="L10" s="56" t="str">
        <f>L3</f>
        <v>Total</v>
      </c>
    </row>
    <row r="11" spans="1:13" ht="34.5" customHeight="1" x14ac:dyDescent="0.2">
      <c r="A11" s="24"/>
      <c r="B11" s="25" t="s">
        <v>155</v>
      </c>
      <c r="C11" s="59">
        <v>3</v>
      </c>
      <c r="D11" s="60">
        <v>1</v>
      </c>
      <c r="E11" s="60">
        <f>E4</f>
        <v>10</v>
      </c>
      <c r="F11" s="56">
        <f>F4</f>
        <v>550</v>
      </c>
      <c r="G11" s="93">
        <f>G8</f>
        <v>4</v>
      </c>
      <c r="H11" s="56">
        <f>H4</f>
        <v>100</v>
      </c>
      <c r="I11" s="56">
        <f>I4</f>
        <v>50</v>
      </c>
      <c r="J11" s="58">
        <f>H11+I11</f>
        <v>150</v>
      </c>
      <c r="K11" s="58">
        <f>C11*G11*J11</f>
        <v>1800</v>
      </c>
      <c r="L11" s="58">
        <f>(C11*D11*E11*F11)+(G11*C11*D11*E11*(+H11+I11))</f>
        <v>34500</v>
      </c>
      <c r="M11" s="62">
        <f>L4+L6+L8+L11</f>
        <v>207000</v>
      </c>
    </row>
    <row r="12" spans="1:13" ht="24" customHeight="1" x14ac:dyDescent="0.2"/>
    <row r="13" spans="1:13" x14ac:dyDescent="0.2">
      <c r="F13" s="1">
        <f>C4*D4*E4*F4</f>
        <v>49500</v>
      </c>
      <c r="L13" s="1">
        <f>(H4+I4)*G4*C4*D4*E4</f>
        <v>54000</v>
      </c>
      <c r="M13" s="1">
        <f>F13+L13</f>
        <v>103500</v>
      </c>
    </row>
    <row r="14" spans="1:13" x14ac:dyDescent="0.2">
      <c r="F14" s="1">
        <f>C6*D6*E6*F6</f>
        <v>16500</v>
      </c>
      <c r="L14" s="1">
        <f>(H6+I6)*G6*(C6*D6*E6)</f>
        <v>18000</v>
      </c>
      <c r="M14" s="1">
        <f>F14+L14</f>
        <v>34500</v>
      </c>
    </row>
    <row r="15" spans="1:13" x14ac:dyDescent="0.2">
      <c r="F15" s="1">
        <f>C8*D8*E8*F8</f>
        <v>16500</v>
      </c>
      <c r="L15" s="1">
        <f>((H8+I8)*G8)*C8*D8*E8</f>
        <v>18000</v>
      </c>
      <c r="M15" s="1">
        <f>F15+L15</f>
        <v>34500</v>
      </c>
    </row>
    <row r="16" spans="1:13" x14ac:dyDescent="0.2">
      <c r="F16" s="119">
        <f>C11*D11*E11*F11</f>
        <v>16500</v>
      </c>
      <c r="L16" s="119">
        <f>((H11+I11)*G11)*C11*D11*E11</f>
        <v>18000</v>
      </c>
      <c r="M16" s="101">
        <f>F16+L16</f>
        <v>34500</v>
      </c>
    </row>
    <row r="17" spans="6:13" x14ac:dyDescent="0.2">
      <c r="F17" s="120">
        <f>SUM(F13:F16)</f>
        <v>99000</v>
      </c>
      <c r="L17" s="120">
        <f>SUM(L13:L16)</f>
        <v>108000</v>
      </c>
      <c r="M17" s="1">
        <f>M13+M14+M15+M16</f>
        <v>207000</v>
      </c>
    </row>
    <row r="18" spans="6:13" x14ac:dyDescent="0.2">
      <c r="M18" s="120">
        <f>F17+L17</f>
        <v>207000</v>
      </c>
    </row>
  </sheetData>
  <mergeCells count="1">
    <mergeCell ref="B9:C9"/>
  </mergeCells>
  <hyperlinks>
    <hyperlink ref="B3" r:id="rId1" display="..\3TeamChall\1\Year_9_Mixed_Teams_Tri-Sports_Challenge.htm"/>
    <hyperlink ref="B5" r:id="rId2" display="../3TeamChall/2/Year10MixedTeamsPublicSpeakingChallenge.htm"/>
    <hyperlink ref="B7" r:id="rId3" display="../3TeamChall/3/Year_11_Teams'_I.T._Geek_Challenge.htm"/>
    <hyperlink ref="B10" r:id="rId4" display="../Mentors/e_Guardians/ThreeNastyPitfallsBesettingTeenagers.htm"/>
    <hyperlink ref="A3" r:id="rId5" display="../RTV/First_RTV_Year.htm"/>
    <hyperlink ref="A5" r:id="rId6" display="../RTV/Second_RTV_Year.htm"/>
    <hyperlink ref="A7" r:id="rId7" display="../RTV/Third_RTV_Year.htm"/>
    <hyperlink ref="A10" r:id="rId8" display="../RTV/Second_RTV_Year.htm"/>
  </hyperlinks>
  <pageMargins left="0.7" right="0.7" top="0.75" bottom="0.75" header="0.3" footer="0.3"/>
  <pageSetup paperSize="9" orientation="portrait" horizontalDpi="4294967293" verticalDpi="0" r:id="rId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14" sqref="D14"/>
    </sheetView>
  </sheetViews>
  <sheetFormatPr defaultRowHeight="12.75" x14ac:dyDescent="0.2"/>
  <cols>
    <col min="1" max="1" width="19.85546875" customWidth="1"/>
    <col min="2" max="2" width="107" customWidth="1"/>
    <col min="3" max="3" width="11.7109375" customWidth="1"/>
    <col min="4" max="4" width="9.85546875" customWidth="1"/>
    <col min="5" max="5" width="19.5703125" customWidth="1"/>
  </cols>
  <sheetData>
    <row r="1" spans="1:5" ht="15.75" x14ac:dyDescent="0.25">
      <c r="A1" s="85" t="s">
        <v>287</v>
      </c>
    </row>
    <row r="2" spans="1:5" x14ac:dyDescent="0.2">
      <c r="A2" s="34"/>
    </row>
    <row r="3" spans="1:5" ht="54" customHeight="1" x14ac:dyDescent="0.25">
      <c r="A3" s="26" t="s">
        <v>34</v>
      </c>
      <c r="B3" s="27"/>
      <c r="C3" s="322" t="s">
        <v>284</v>
      </c>
      <c r="D3" s="52" t="s">
        <v>283</v>
      </c>
      <c r="E3" s="52" t="s">
        <v>285</v>
      </c>
    </row>
    <row r="4" spans="1:5" ht="33" customHeight="1" x14ac:dyDescent="0.2">
      <c r="A4" s="28"/>
      <c r="B4" s="323" t="s">
        <v>48</v>
      </c>
      <c r="C4" s="324">
        <v>20</v>
      </c>
      <c r="D4" s="51">
        <v>550</v>
      </c>
      <c r="E4" s="51">
        <f>C4*D4</f>
        <v>11000</v>
      </c>
    </row>
    <row r="5" spans="1:5" ht="24" customHeight="1" x14ac:dyDescent="0.2"/>
  </sheetData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A5" sqref="A5:XFD6"/>
    </sheetView>
  </sheetViews>
  <sheetFormatPr defaultRowHeight="12.75" x14ac:dyDescent="0.2"/>
  <cols>
    <col min="1" max="1" width="16.85546875" style="37" customWidth="1"/>
    <col min="2" max="2" width="38.85546875" customWidth="1"/>
    <col min="3" max="3" width="10" customWidth="1"/>
    <col min="4" max="4" width="14.28515625" customWidth="1"/>
    <col min="5" max="5" width="17" customWidth="1"/>
    <col min="6" max="6" width="15.28515625" customWidth="1"/>
    <col min="7" max="7" width="10.5703125" style="37" customWidth="1"/>
    <col min="9" max="9" width="2.140625" style="68" customWidth="1"/>
    <col min="10" max="10" width="7.42578125" customWidth="1"/>
    <col min="11" max="11" width="8.7109375" customWidth="1"/>
    <col min="12" max="12" width="7.85546875" customWidth="1"/>
  </cols>
  <sheetData>
    <row r="1" spans="1:12" ht="15.75" x14ac:dyDescent="0.25">
      <c r="A1" s="85" t="s">
        <v>123</v>
      </c>
    </row>
    <row r="2" spans="1:12" ht="15.75" customHeight="1" x14ac:dyDescent="0.2">
      <c r="A2" s="166" t="s">
        <v>154</v>
      </c>
    </row>
    <row r="4" spans="1:12" ht="53.25" customHeight="1" x14ac:dyDescent="0.2">
      <c r="B4" s="67" t="s">
        <v>61</v>
      </c>
      <c r="C4" s="67" t="s">
        <v>62</v>
      </c>
      <c r="D4" s="67" t="s">
        <v>63</v>
      </c>
      <c r="E4" s="67" t="s">
        <v>67</v>
      </c>
      <c r="F4" s="67" t="s">
        <v>68</v>
      </c>
      <c r="G4" s="67" t="s">
        <v>156</v>
      </c>
      <c r="H4" s="67" t="s">
        <v>7</v>
      </c>
      <c r="J4" s="67" t="s">
        <v>110</v>
      </c>
      <c r="K4" s="67" t="s">
        <v>111</v>
      </c>
      <c r="L4" s="67" t="s">
        <v>7</v>
      </c>
    </row>
    <row r="5" spans="1:12" ht="15.75" customHeight="1" x14ac:dyDescent="0.2">
      <c r="A5" s="102" t="s">
        <v>31</v>
      </c>
      <c r="B5" s="102" t="s">
        <v>69</v>
      </c>
      <c r="C5" s="70">
        <v>3</v>
      </c>
      <c r="D5" s="61">
        <f>'Mentor flights,accom,meals'!F4</f>
        <v>550</v>
      </c>
      <c r="E5" s="61">
        <f>'Mentor flights,accom,meals'!H4</f>
        <v>100</v>
      </c>
      <c r="F5" s="61">
        <f>'Mentor flights,accom,meals'!I4</f>
        <v>50</v>
      </c>
      <c r="G5" s="37">
        <f>7+1</f>
        <v>8</v>
      </c>
      <c r="H5" s="1">
        <f>(C5*(E5+F5)*G5)+(C5*D5)</f>
        <v>5250</v>
      </c>
      <c r="J5" s="1">
        <f>C5*D5</f>
        <v>1650</v>
      </c>
      <c r="K5" s="1">
        <f>(E5+F5)*C5*G5</f>
        <v>3600</v>
      </c>
      <c r="L5" s="1">
        <f>J5+K5</f>
        <v>5250</v>
      </c>
    </row>
    <row r="6" spans="1:12" x14ac:dyDescent="0.2">
      <c r="B6" s="102" t="s">
        <v>70</v>
      </c>
      <c r="C6" s="70">
        <v>3</v>
      </c>
      <c r="D6" s="61">
        <f>D5</f>
        <v>550</v>
      </c>
      <c r="E6" s="61">
        <f>E5</f>
        <v>100</v>
      </c>
      <c r="F6" s="61">
        <f>F5</f>
        <v>50</v>
      </c>
      <c r="G6" s="37">
        <f>G5</f>
        <v>8</v>
      </c>
      <c r="H6" s="1">
        <f t="shared" ref="H6:H9" si="0">(C6*(E6+F6)*G6)+(C6*D6)</f>
        <v>5250</v>
      </c>
      <c r="J6" s="1">
        <f t="shared" ref="J6:J9" si="1">C6*D6</f>
        <v>1650</v>
      </c>
      <c r="K6" s="1">
        <f t="shared" ref="K6:K9" si="2">(E6+F6)*C6*G6</f>
        <v>3600</v>
      </c>
      <c r="L6" s="1">
        <f t="shared" ref="L6:L9" si="3">J6+K6</f>
        <v>5250</v>
      </c>
    </row>
    <row r="7" spans="1:12" x14ac:dyDescent="0.2">
      <c r="A7" s="102" t="s">
        <v>32</v>
      </c>
      <c r="B7" s="102" t="s">
        <v>71</v>
      </c>
      <c r="C7" s="70">
        <v>3</v>
      </c>
      <c r="D7" s="61">
        <f t="shared" ref="D7:D9" si="4">D6</f>
        <v>550</v>
      </c>
      <c r="E7" s="61">
        <f>E6</f>
        <v>100</v>
      </c>
      <c r="F7" s="61">
        <f>F6</f>
        <v>50</v>
      </c>
      <c r="G7" s="37">
        <f>G6-1</f>
        <v>7</v>
      </c>
      <c r="H7" s="1">
        <f t="shared" si="0"/>
        <v>4800</v>
      </c>
      <c r="J7" s="1">
        <f t="shared" si="1"/>
        <v>1650</v>
      </c>
      <c r="K7" s="1">
        <f t="shared" si="2"/>
        <v>3150</v>
      </c>
      <c r="L7" s="1">
        <f t="shared" si="3"/>
        <v>4800</v>
      </c>
    </row>
    <row r="8" spans="1:12" x14ac:dyDescent="0.2">
      <c r="B8" s="102" t="s">
        <v>72</v>
      </c>
      <c r="C8" s="70">
        <v>3</v>
      </c>
      <c r="D8" s="61">
        <f t="shared" si="4"/>
        <v>550</v>
      </c>
      <c r="E8" s="61">
        <f t="shared" ref="E8:E9" si="5">E7</f>
        <v>100</v>
      </c>
      <c r="F8" s="61">
        <f>F7</f>
        <v>50</v>
      </c>
      <c r="G8" s="37">
        <f>G7</f>
        <v>7</v>
      </c>
      <c r="H8" s="1">
        <f t="shared" si="0"/>
        <v>4800</v>
      </c>
      <c r="J8" s="1">
        <f t="shared" si="1"/>
        <v>1650</v>
      </c>
      <c r="K8" s="1">
        <f t="shared" si="2"/>
        <v>3150</v>
      </c>
      <c r="L8" s="1">
        <f t="shared" si="3"/>
        <v>4800</v>
      </c>
    </row>
    <row r="9" spans="1:12" x14ac:dyDescent="0.2">
      <c r="A9" s="102" t="s">
        <v>33</v>
      </c>
      <c r="B9" s="102" t="s">
        <v>73</v>
      </c>
      <c r="C9" s="70">
        <v>3</v>
      </c>
      <c r="D9" s="122">
        <f t="shared" si="4"/>
        <v>550</v>
      </c>
      <c r="E9" s="122">
        <f t="shared" si="5"/>
        <v>100</v>
      </c>
      <c r="F9" s="122">
        <f>F8</f>
        <v>50</v>
      </c>
      <c r="G9" s="37">
        <f>G8-1</f>
        <v>6</v>
      </c>
      <c r="H9" s="101">
        <f t="shared" si="0"/>
        <v>4350</v>
      </c>
      <c r="J9" s="101">
        <f t="shared" si="1"/>
        <v>1650</v>
      </c>
      <c r="K9" s="101">
        <f t="shared" si="2"/>
        <v>2700</v>
      </c>
      <c r="L9" s="101">
        <f t="shared" si="3"/>
        <v>4350</v>
      </c>
    </row>
    <row r="10" spans="1:12" x14ac:dyDescent="0.2">
      <c r="B10" s="7"/>
      <c r="C10" s="70"/>
      <c r="D10" s="61" t="s">
        <v>48</v>
      </c>
      <c r="H10" s="1">
        <f>SUM(H5:H9)</f>
        <v>24450</v>
      </c>
      <c r="J10" s="120">
        <f>SUM(J5:J9)</f>
        <v>8250</v>
      </c>
      <c r="K10" s="120">
        <f>SUM(K5:K9)</f>
        <v>16200</v>
      </c>
      <c r="L10" s="120">
        <f>SUM(L5:L9)</f>
        <v>24450</v>
      </c>
    </row>
    <row r="11" spans="1:12" x14ac:dyDescent="0.2">
      <c r="B11" s="7"/>
    </row>
    <row r="12" spans="1:12" x14ac:dyDescent="0.2">
      <c r="B12" s="7"/>
    </row>
  </sheetData>
  <hyperlinks>
    <hyperlink ref="B5" r:id="rId1" display="../3TeamChall/1/West_Coast_Tri-Sports_Challenge.htm"/>
    <hyperlink ref="B6" r:id="rId2" display="../3TeamChall/1/East_Coast_Tri-Sports_Challenge.htm"/>
    <hyperlink ref="B7" r:id="rId3" display="../3TeamChall/2/Northern_City_Public_Speaking_Challenge.htm"/>
    <hyperlink ref="B8" r:id="rId4" display="../3TeamChall/2/Southern_City_Public_Speaking_Challenge.htm"/>
    <hyperlink ref="B9" r:id="rId5" display="../3TeamChall/3/Capital_City_Venue.htm"/>
    <hyperlink ref="A5" r:id="rId6" display="../RTV/First_RTV_Year.htm"/>
    <hyperlink ref="A7" r:id="rId7" display="../RTV/Second_RTV_Year.htm"/>
    <hyperlink ref="A9" r:id="rId8" display="../RTV/Third_RTV_Year.htm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F5" sqref="F5"/>
    </sheetView>
  </sheetViews>
  <sheetFormatPr defaultRowHeight="12.75" x14ac:dyDescent="0.2"/>
  <cols>
    <col min="1" max="1" width="21.85546875" style="37" customWidth="1"/>
    <col min="2" max="2" width="9.28515625" customWidth="1"/>
    <col min="3" max="3" width="12.7109375" customWidth="1"/>
    <col min="4" max="4" width="11.7109375" customWidth="1"/>
    <col min="5" max="5" width="12.42578125" customWidth="1"/>
    <col min="6" max="6" width="9.85546875" customWidth="1"/>
    <col min="7" max="7" width="10" customWidth="1"/>
    <col min="8" max="8" width="2.140625" style="68" customWidth="1"/>
    <col min="9" max="9" width="7.42578125" customWidth="1"/>
    <col min="10" max="10" width="7.7109375" customWidth="1"/>
    <col min="11" max="11" width="7.85546875" customWidth="1"/>
  </cols>
  <sheetData>
    <row r="1" spans="1:7" ht="15.75" x14ac:dyDescent="0.25">
      <c r="A1" s="85" t="s">
        <v>75</v>
      </c>
    </row>
    <row r="3" spans="1:7" ht="39" customHeight="1" x14ac:dyDescent="0.2">
      <c r="B3" s="67" t="s">
        <v>76</v>
      </c>
      <c r="C3" s="67" t="s">
        <v>80</v>
      </c>
      <c r="D3" s="67" t="s">
        <v>112</v>
      </c>
      <c r="E3" s="67" t="s">
        <v>77</v>
      </c>
      <c r="F3" s="67" t="s">
        <v>113</v>
      </c>
      <c r="G3" s="67" t="s">
        <v>7</v>
      </c>
    </row>
    <row r="4" spans="1:7" ht="15.75" customHeight="1" x14ac:dyDescent="0.2">
      <c r="A4" s="102" t="s">
        <v>31</v>
      </c>
      <c r="B4" s="70">
        <v>20</v>
      </c>
      <c r="C4" s="61">
        <v>100</v>
      </c>
      <c r="D4" s="61">
        <f>$B$4*C4</f>
        <v>2000</v>
      </c>
      <c r="E4" s="61">
        <f>'Mentor flights,accom,meals'!H4</f>
        <v>100</v>
      </c>
      <c r="F4" s="61">
        <f>$B$4*E4</f>
        <v>2000</v>
      </c>
      <c r="G4" s="1">
        <f>(D4+F4)</f>
        <v>4000</v>
      </c>
    </row>
    <row r="5" spans="1:7" x14ac:dyDescent="0.2">
      <c r="A5" s="102" t="s">
        <v>32</v>
      </c>
      <c r="B5" s="70">
        <v>20</v>
      </c>
      <c r="C5" s="61">
        <f t="shared" ref="C5:E6" si="0">C4</f>
        <v>100</v>
      </c>
      <c r="D5" s="61">
        <f>$B$5*C5</f>
        <v>2000</v>
      </c>
      <c r="E5" s="61">
        <f t="shared" si="0"/>
        <v>100</v>
      </c>
      <c r="F5" s="61">
        <f>$B$5*E5</f>
        <v>2000</v>
      </c>
      <c r="G5" s="1">
        <f t="shared" ref="G5:G6" si="1">(D5+F5)</f>
        <v>4000</v>
      </c>
    </row>
    <row r="6" spans="1:7" x14ac:dyDescent="0.2">
      <c r="A6" s="102" t="s">
        <v>33</v>
      </c>
      <c r="B6" s="70">
        <v>20</v>
      </c>
      <c r="C6" s="61">
        <f t="shared" si="0"/>
        <v>100</v>
      </c>
      <c r="D6" s="121">
        <f>$B$6*C6</f>
        <v>2000</v>
      </c>
      <c r="E6" s="61">
        <f t="shared" si="0"/>
        <v>100</v>
      </c>
      <c r="F6" s="121">
        <f>$B$6*E6</f>
        <v>2000</v>
      </c>
      <c r="G6" s="119">
        <f t="shared" si="1"/>
        <v>4000</v>
      </c>
    </row>
    <row r="7" spans="1:7" x14ac:dyDescent="0.2">
      <c r="B7" s="70"/>
      <c r="D7" s="61">
        <f>SUM(D4:D6)</f>
        <v>6000</v>
      </c>
      <c r="F7" s="61">
        <f>SUM(F4:F6)</f>
        <v>6000</v>
      </c>
      <c r="G7" s="1">
        <f>SUM(G4:G6)</f>
        <v>12000</v>
      </c>
    </row>
  </sheetData>
  <hyperlinks>
    <hyperlink ref="A4" r:id="rId1" display="../RTV/First_RTV_Year.htm"/>
    <hyperlink ref="A5" r:id="rId2" display="../RTV/Second_RTV_Year.htm"/>
    <hyperlink ref="A6" r:id="rId3" display="../RTV/Third_RTV_Year.htm"/>
  </hyperlinks>
  <pageMargins left="0.7" right="0.7" top="0.75" bottom="0.75" header="0.3" footer="0.3"/>
  <pageSetup paperSize="9" orientation="portrait" horizontalDpi="0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Summary Costs &amp; Receipts</vt:lpstr>
      <vt:lpstr>Summary Budget item costs</vt:lpstr>
      <vt:lpstr>Budget item costs</vt:lpstr>
      <vt:lpstr>Student transport,accom,meals</vt:lpstr>
      <vt:lpstr>3Challenge,equip,cloth,computer</vt:lpstr>
      <vt:lpstr>Mentor flights,accom,meals</vt:lpstr>
      <vt:lpstr>20 Work Experience flight costs</vt:lpstr>
      <vt:lpstr>Out-of-pockets Three Judges</vt:lpstr>
      <vt:lpstr>Out-of-pockets 20 WOOs</vt:lpstr>
      <vt:lpstr>1stYearYoungCorpSponSportEmploy</vt:lpstr>
      <vt:lpstr>O-o-P_6_RegionlTeamsCo-ord</vt:lpstr>
      <vt:lpstr>2nd&amp;3rdYear_RegTeamCo-Ord</vt:lpstr>
      <vt:lpstr>10_LocalConnectorLabourCost</vt:lpstr>
      <vt:lpstr>Out-of-pockets_Local_Connectors</vt:lpstr>
      <vt:lpstr>Local_Connector_cameras</vt:lpstr>
      <vt:lpstr>Website Development</vt:lpstr>
      <vt:lpstr>1stYearTravelAccommMealsLabour</vt:lpstr>
      <vt:lpstr>2ndYearTravelAccommMealsLabour</vt:lpstr>
      <vt:lpstr>3rdYearTravelAccommMealsLabour</vt:lpstr>
      <vt:lpstr>All_Agg._Costs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Johnston</dc:creator>
  <cp:lastModifiedBy>scribepj</cp:lastModifiedBy>
  <dcterms:created xsi:type="dcterms:W3CDTF">2013-02-02T06:42:12Z</dcterms:created>
  <dcterms:modified xsi:type="dcterms:W3CDTF">2020-09-22T21:14:42Z</dcterms:modified>
</cp:coreProperties>
</file>