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4" activeTab="10"/>
  </bookViews>
  <sheets>
    <sheet name="Chambery to Base Camps - kms" sheetId="1" r:id="rId1"/>
    <sheet name="14 days Climb Stats" sheetId="2" r:id="rId2"/>
    <sheet name="19 days - 18 nights Schedule" sheetId="5" r:id="rId3"/>
    <sheet name="19 days-18 nights Budget" sheetId="4" r:id="rId4"/>
    <sheet name="Climbs specs" sheetId="3" r:id="rId5"/>
    <sheet name="Shared costs" sheetId="13" r:id="rId6"/>
    <sheet name="Shared costs (2)" sheetId="14" r:id="rId7"/>
    <sheet name="Shared costs (3)" sheetId="16" r:id="rId8"/>
    <sheet name="Shared costs (4)" sheetId="17" r:id="rId9"/>
    <sheet name="Rental car contributions" sheetId="12" r:id="rId10"/>
    <sheet name="Lufthansa" sheetId="15" r:id="rId11"/>
    <sheet name="Johnston 2 mths travel schedule" sheetId="6" r:id="rId12"/>
    <sheet name="Johnston 2 mths travel net" sheetId="9" r:id="rId13"/>
    <sheet name="Seattle Airport to train" sheetId="11" r:id="rId14"/>
    <sheet name="Accommodation" sheetId="10" r:id="rId15"/>
  </sheets>
  <definedNames>
    <definedName name="_xlnm.Print_Area" localSheetId="1">'14 days Climb Stats'!$A$1:$AD$22</definedName>
  </definedNames>
  <calcPr calcId="145621"/>
</workbook>
</file>

<file path=xl/calcChain.xml><?xml version="1.0" encoding="utf-8"?>
<calcChain xmlns="http://schemas.openxmlformats.org/spreadsheetml/2006/main">
  <c r="B7" i="15" l="1"/>
  <c r="G8" i="15"/>
  <c r="N36" i="17" l="1"/>
  <c r="M36" i="17"/>
  <c r="L36" i="17"/>
  <c r="K36" i="17"/>
  <c r="J36" i="17"/>
  <c r="J29" i="17"/>
  <c r="L29" i="17"/>
  <c r="K25" i="17" l="1"/>
  <c r="J25" i="17"/>
  <c r="F25" i="17"/>
  <c r="F23" i="17" l="1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K11" i="17" l="1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K13" i="17" l="1"/>
  <c r="D23" i="16"/>
  <c r="F23" i="16" s="1"/>
  <c r="L21" i="16"/>
  <c r="K21" i="16"/>
  <c r="J21" i="16"/>
  <c r="G21" i="16"/>
  <c r="I9" i="16"/>
  <c r="D21" i="16"/>
  <c r="L13" i="16"/>
  <c r="K13" i="16"/>
  <c r="J13" i="16"/>
  <c r="E13" i="16"/>
  <c r="L23" i="16" l="1"/>
  <c r="K23" i="16"/>
  <c r="J23" i="16"/>
  <c r="L19" i="16"/>
  <c r="C19" i="16"/>
  <c r="E19" i="16" l="1"/>
  <c r="J19" i="16"/>
  <c r="K19" i="16" l="1"/>
  <c r="J5" i="16"/>
  <c r="L5" i="16"/>
  <c r="K5" i="16"/>
  <c r="M17" i="16"/>
  <c r="K17" i="16"/>
  <c r="J17" i="16"/>
  <c r="D13" i="16"/>
  <c r="M11" i="16"/>
  <c r="K11" i="16"/>
  <c r="G11" i="16"/>
  <c r="D11" i="16"/>
  <c r="L11" i="16" s="1"/>
  <c r="G9" i="16"/>
  <c r="F9" i="16"/>
  <c r="D9" i="16"/>
  <c r="L9" i="16" s="1"/>
  <c r="M7" i="16"/>
  <c r="L7" i="16"/>
  <c r="K7" i="16"/>
  <c r="J7" i="16"/>
  <c r="F7" i="16"/>
  <c r="K9" i="16" l="1"/>
  <c r="M9" i="16"/>
  <c r="J9" i="16"/>
  <c r="J11" i="16"/>
  <c r="L11" i="14"/>
  <c r="K11" i="14"/>
  <c r="G9" i="15" l="1"/>
  <c r="D13" i="14" l="1"/>
  <c r="D11" i="14"/>
  <c r="G11" i="14" s="1"/>
  <c r="K9" i="14"/>
  <c r="J9" i="14"/>
  <c r="L9" i="14"/>
  <c r="I9" i="14"/>
  <c r="F9" i="14"/>
  <c r="G9" i="14"/>
  <c r="D9" i="14"/>
  <c r="J7" i="14"/>
  <c r="L7" i="14"/>
  <c r="K7" i="14"/>
  <c r="I7" i="14"/>
  <c r="F7" i="14"/>
  <c r="J17" i="14"/>
  <c r="L17" i="14"/>
  <c r="I17" i="14"/>
  <c r="C19" i="14"/>
  <c r="A2" i="12"/>
  <c r="A3" i="12" s="1"/>
  <c r="D15" i="17" s="1"/>
  <c r="C18" i="13"/>
  <c r="M15" i="17" l="1"/>
  <c r="M27" i="17" s="1"/>
  <c r="E15" i="17"/>
  <c r="D15" i="16"/>
  <c r="D15" i="14"/>
  <c r="L15" i="14" s="1"/>
  <c r="J11" i="14"/>
  <c r="L23" i="14"/>
  <c r="I11" i="14"/>
  <c r="E15" i="14"/>
  <c r="K15" i="14" s="1"/>
  <c r="K23" i="14" s="1"/>
  <c r="D7" i="12"/>
  <c r="D6" i="12"/>
  <c r="I8" i="13"/>
  <c r="H8" i="13"/>
  <c r="H7" i="13"/>
  <c r="F7" i="13"/>
  <c r="J32" i="17" l="1"/>
  <c r="M29" i="17"/>
  <c r="M33" i="17" s="1"/>
  <c r="L15" i="17"/>
  <c r="L27" i="17" s="1"/>
  <c r="K15" i="17"/>
  <c r="K27" i="17" s="1"/>
  <c r="J15" i="17"/>
  <c r="J27" i="17" s="1"/>
  <c r="N27" i="17" s="1"/>
  <c r="M15" i="16"/>
  <c r="M25" i="16" s="1"/>
  <c r="E15" i="16"/>
  <c r="I15" i="14"/>
  <c r="I23" i="14" s="1"/>
  <c r="J15" i="14"/>
  <c r="J23" i="14" s="1"/>
  <c r="G16" i="13"/>
  <c r="G14" i="13"/>
  <c r="G15" i="13" s="1"/>
  <c r="J33" i="17" l="1"/>
  <c r="J30" i="16"/>
  <c r="M27" i="16"/>
  <c r="M31" i="16" s="1"/>
  <c r="K31" i="17"/>
  <c r="K33" i="17" s="1"/>
  <c r="L30" i="17"/>
  <c r="L15" i="16"/>
  <c r="L25" i="16" s="1"/>
  <c r="K15" i="16"/>
  <c r="K25" i="16" s="1"/>
  <c r="J15" i="16"/>
  <c r="J25" i="16" s="1"/>
  <c r="N25" i="16" s="1"/>
  <c r="H5" i="13"/>
  <c r="D3" i="13"/>
  <c r="H3" i="13" s="1"/>
  <c r="E7" i="12"/>
  <c r="E6" i="12"/>
  <c r="B1" i="12"/>
  <c r="B6" i="12" s="1"/>
  <c r="B7" i="12" s="1"/>
  <c r="L28" i="16" l="1"/>
  <c r="K29" i="16"/>
  <c r="K31" i="16" s="1"/>
  <c r="L33" i="17"/>
  <c r="N33" i="17" s="1"/>
  <c r="J27" i="16"/>
  <c r="J31" i="16" s="1"/>
  <c r="L27" i="16"/>
  <c r="L31" i="16" s="1"/>
  <c r="C1" i="12"/>
  <c r="F7" i="12"/>
  <c r="H10" i="13" s="1"/>
  <c r="H37" i="6"/>
  <c r="G37" i="6"/>
  <c r="B37" i="6"/>
  <c r="H38" i="6"/>
  <c r="H36" i="6"/>
  <c r="N31" i="16" l="1"/>
  <c r="F6" i="12"/>
  <c r="F8" i="12" s="1"/>
  <c r="H11" i="13"/>
  <c r="I10" i="13" s="1"/>
  <c r="G1" i="12"/>
  <c r="G2" i="12"/>
  <c r="G25" i="6"/>
  <c r="G26" i="6"/>
  <c r="G27" i="6"/>
  <c r="B26" i="6"/>
  <c r="H25" i="6"/>
  <c r="H26" i="6"/>
  <c r="I2" i="12" l="1"/>
  <c r="E2" i="12"/>
  <c r="F2" i="12" s="1"/>
  <c r="I1" i="12"/>
  <c r="I3" i="12" s="1"/>
  <c r="E1" i="12"/>
  <c r="F1" i="12" s="1"/>
  <c r="F3" i="12" s="1"/>
  <c r="M11" i="10"/>
  <c r="M7" i="10" l="1"/>
  <c r="M23" i="10" l="1"/>
  <c r="M20" i="10"/>
  <c r="E5" i="10" l="1"/>
  <c r="C5" i="10"/>
  <c r="O28" i="6" l="1"/>
  <c r="O27" i="6"/>
  <c r="O24" i="6"/>
  <c r="O22" i="6"/>
  <c r="O18" i="6"/>
  <c r="O19" i="6" s="1"/>
  <c r="O21" i="6" s="1"/>
  <c r="O17" i="6"/>
  <c r="E5" i="2" l="1"/>
  <c r="E6" i="2"/>
  <c r="E7" i="2"/>
  <c r="E8" i="2"/>
  <c r="E4" i="2"/>
  <c r="C4" i="6" l="1"/>
  <c r="C3" i="9" l="1"/>
  <c r="K3" i="9"/>
  <c r="D4" i="9"/>
  <c r="C4" i="9" s="1"/>
  <c r="L4" i="9"/>
  <c r="K4" i="9" s="1"/>
  <c r="D5" i="9"/>
  <c r="C5" i="9" s="1"/>
  <c r="H5" i="9"/>
  <c r="L5" i="9"/>
  <c r="K5" i="9" s="1"/>
  <c r="M5" i="9"/>
  <c r="C6" i="9"/>
  <c r="D6" i="9"/>
  <c r="C7" i="9"/>
  <c r="D7" i="9"/>
  <c r="F7" i="9"/>
  <c r="M7" i="9"/>
  <c r="B8" i="9"/>
  <c r="D8" i="9"/>
  <c r="C8" i="9" s="1"/>
  <c r="D9" i="9"/>
  <c r="C9" i="9" s="1"/>
  <c r="D10" i="9"/>
  <c r="C10" i="9" s="1"/>
  <c r="D11" i="9"/>
  <c r="C11" i="9" s="1"/>
  <c r="B12" i="9"/>
  <c r="D12" i="9"/>
  <c r="C12" i="9" s="1"/>
  <c r="D13" i="9"/>
  <c r="C13" i="9" s="1"/>
  <c r="M13" i="9"/>
  <c r="A16" i="9"/>
  <c r="A17" i="9"/>
  <c r="M17" i="9"/>
  <c r="A18" i="9"/>
  <c r="A19" i="9" s="1"/>
  <c r="A20" i="9" s="1"/>
  <c r="M19" i="9"/>
  <c r="A21" i="9"/>
  <c r="A22" i="9" s="1"/>
  <c r="M21" i="9"/>
  <c r="M20" i="9" s="1"/>
  <c r="M22" i="9"/>
  <c r="M23" i="9"/>
  <c r="A24" i="9"/>
  <c r="B24" i="9"/>
  <c r="C25" i="9"/>
  <c r="K25" i="9"/>
  <c r="C26" i="9"/>
  <c r="D26" i="9"/>
  <c r="K26" i="9"/>
  <c r="L26" i="9"/>
  <c r="C27" i="9"/>
  <c r="D27" i="9"/>
  <c r="H27" i="9"/>
  <c r="L27" i="9"/>
  <c r="K27" i="9" s="1"/>
  <c r="C28" i="9"/>
  <c r="K28" i="9"/>
  <c r="K29" i="9" s="1"/>
  <c r="C29" i="9"/>
  <c r="D29" i="9"/>
  <c r="L29" i="9"/>
  <c r="D30" i="9"/>
  <c r="C30" i="9" s="1"/>
  <c r="L30" i="9"/>
  <c r="K30" i="9" s="1"/>
  <c r="D31" i="9"/>
  <c r="C31" i="9" s="1"/>
  <c r="L31" i="9"/>
  <c r="K31" i="9" s="1"/>
  <c r="D32" i="9"/>
  <c r="C32" i="9" s="1"/>
  <c r="L32" i="9"/>
  <c r="K32" i="9" s="1"/>
  <c r="D33" i="9"/>
  <c r="C33" i="9" s="1"/>
  <c r="L33" i="9"/>
  <c r="K33" i="9" s="1"/>
  <c r="A34" i="9"/>
  <c r="C35" i="9"/>
  <c r="K35" i="9"/>
  <c r="C36" i="9"/>
  <c r="H36" i="9"/>
  <c r="K36" i="9"/>
  <c r="C37" i="9"/>
  <c r="K37" i="9"/>
  <c r="C38" i="9"/>
  <c r="K38" i="9"/>
  <c r="C39" i="9"/>
  <c r="H39" i="9"/>
  <c r="K39" i="9"/>
  <c r="L34" i="9" l="1"/>
  <c r="K34" i="9" s="1"/>
  <c r="D34" i="9"/>
  <c r="C34" i="9" s="1"/>
  <c r="D14" i="9"/>
  <c r="F11" i="9"/>
  <c r="L6" i="9"/>
  <c r="K6" i="9" l="1"/>
  <c r="L7" i="9"/>
  <c r="C14" i="9"/>
  <c r="D15" i="9"/>
  <c r="C15" i="9" l="1"/>
  <c r="D16" i="9"/>
  <c r="L8" i="9"/>
  <c r="K7" i="9"/>
  <c r="L9" i="9" l="1"/>
  <c r="K8" i="9"/>
  <c r="D17" i="9"/>
  <c r="C16" i="9"/>
  <c r="F16" i="9"/>
  <c r="X14" i="2"/>
  <c r="V14" i="2"/>
  <c r="Y14" i="2" s="1"/>
  <c r="AC14" i="2" s="1"/>
  <c r="R14" i="2"/>
  <c r="U14" i="2"/>
  <c r="D18" i="9" l="1"/>
  <c r="C17" i="9"/>
  <c r="L10" i="9"/>
  <c r="K9" i="9"/>
  <c r="T14" i="2"/>
  <c r="M14" i="2"/>
  <c r="O14" i="2" s="1"/>
  <c r="H14" i="2"/>
  <c r="C14" i="2"/>
  <c r="K10" i="9" l="1"/>
  <c r="L11" i="9"/>
  <c r="C18" i="9"/>
  <c r="D19" i="9"/>
  <c r="G44" i="6"/>
  <c r="J43" i="6"/>
  <c r="G43" i="6"/>
  <c r="G42" i="6"/>
  <c r="G41" i="6"/>
  <c r="J40" i="6"/>
  <c r="G40" i="6"/>
  <c r="G39" i="6"/>
  <c r="B38" i="6"/>
  <c r="H33" i="6"/>
  <c r="G33" i="6" s="1"/>
  <c r="H32" i="6"/>
  <c r="G31" i="6"/>
  <c r="G32" i="6" s="1"/>
  <c r="J29" i="6"/>
  <c r="H28" i="6"/>
  <c r="G28" i="6" s="1"/>
  <c r="H24" i="6"/>
  <c r="F27" i="6" s="1"/>
  <c r="C24" i="6"/>
  <c r="B24" i="6"/>
  <c r="G23" i="6"/>
  <c r="F23" i="6"/>
  <c r="D23" i="6"/>
  <c r="D22" i="6"/>
  <c r="B22" i="6"/>
  <c r="D21" i="6"/>
  <c r="B21" i="6"/>
  <c r="D20" i="6"/>
  <c r="D19" i="6"/>
  <c r="B19" i="6"/>
  <c r="B20" i="6" s="1"/>
  <c r="B18" i="6"/>
  <c r="D17" i="6"/>
  <c r="B17" i="6"/>
  <c r="B16" i="6"/>
  <c r="H15" i="6"/>
  <c r="G15" i="6" s="1"/>
  <c r="G14" i="6"/>
  <c r="D13" i="6"/>
  <c r="C12" i="6"/>
  <c r="A10" i="6"/>
  <c r="A9" i="6"/>
  <c r="H8" i="6"/>
  <c r="H9" i="6" s="1"/>
  <c r="C8" i="6"/>
  <c r="G7" i="6"/>
  <c r="D7" i="6"/>
  <c r="D5" i="6"/>
  <c r="H4" i="6"/>
  <c r="H5" i="6" s="1"/>
  <c r="G3" i="6"/>
  <c r="C19" i="9" l="1"/>
  <c r="F19" i="9"/>
  <c r="D20" i="9"/>
  <c r="K11" i="9"/>
  <c r="L12" i="9"/>
  <c r="G5" i="6"/>
  <c r="H6" i="6"/>
  <c r="H10" i="6"/>
  <c r="G9" i="6"/>
  <c r="H29" i="6"/>
  <c r="H34" i="6"/>
  <c r="H16" i="6"/>
  <c r="G4" i="6"/>
  <c r="G8" i="6"/>
  <c r="G24" i="6"/>
  <c r="B3" i="2"/>
  <c r="C3" i="2"/>
  <c r="D3" i="2" s="1"/>
  <c r="L13" i="9" l="1"/>
  <c r="K12" i="9"/>
  <c r="D21" i="9"/>
  <c r="C20" i="9"/>
  <c r="G16" i="6"/>
  <c r="H17" i="6"/>
  <c r="F16" i="6"/>
  <c r="H30" i="6"/>
  <c r="G30" i="6" s="1"/>
  <c r="G29" i="6"/>
  <c r="H11" i="6"/>
  <c r="G10" i="6"/>
  <c r="G34" i="6"/>
  <c r="H35" i="6"/>
  <c r="G6" i="6"/>
  <c r="F7" i="6"/>
  <c r="C14" i="1"/>
  <c r="D21" i="2"/>
  <c r="D17" i="2"/>
  <c r="B17" i="2"/>
  <c r="B10" i="2"/>
  <c r="D10" i="2"/>
  <c r="C10" i="2"/>
  <c r="C21" i="9" l="1"/>
  <c r="F21" i="9"/>
  <c r="D22" i="9"/>
  <c r="K13" i="9"/>
  <c r="L14" i="9"/>
  <c r="F11" i="6"/>
  <c r="H12" i="6"/>
  <c r="G11" i="6"/>
  <c r="H18" i="6"/>
  <c r="G17" i="6"/>
  <c r="G35" i="6"/>
  <c r="D4" i="2"/>
  <c r="B6" i="5"/>
  <c r="C6" i="5" s="1"/>
  <c r="B7" i="5"/>
  <c r="C7" i="5" s="1"/>
  <c r="B8" i="5"/>
  <c r="C8" i="5" s="1"/>
  <c r="B9" i="5"/>
  <c r="C9" i="5" s="1"/>
  <c r="B10" i="5"/>
  <c r="B11" i="5"/>
  <c r="C11" i="5" s="1"/>
  <c r="B12" i="5"/>
  <c r="C12" i="5" s="1"/>
  <c r="B13" i="5"/>
  <c r="C13" i="5" s="1"/>
  <c r="B14" i="5"/>
  <c r="C14" i="5" s="1"/>
  <c r="B15" i="5"/>
  <c r="C15" i="5" s="1"/>
  <c r="B16" i="5"/>
  <c r="B17" i="5"/>
  <c r="C17" i="5" s="1"/>
  <c r="B18" i="5"/>
  <c r="C18" i="5" s="1"/>
  <c r="B5" i="5"/>
  <c r="C16" i="5" l="1"/>
  <c r="C31" i="10"/>
  <c r="D31" i="10" s="1"/>
  <c r="E15" i="10"/>
  <c r="C10" i="5"/>
  <c r="C15" i="10"/>
  <c r="D15" i="10" s="1"/>
  <c r="E6" i="10"/>
  <c r="B4" i="5"/>
  <c r="C4" i="5" s="1"/>
  <c r="C6" i="10"/>
  <c r="D6" i="10" s="1"/>
  <c r="K14" i="9"/>
  <c r="L15" i="9"/>
  <c r="C22" i="9"/>
  <c r="D23" i="9"/>
  <c r="G38" i="6"/>
  <c r="G36" i="6"/>
  <c r="H21" i="6"/>
  <c r="H19" i="6"/>
  <c r="G18" i="6"/>
  <c r="H13" i="6"/>
  <c r="G13" i="6" s="1"/>
  <c r="G12" i="6"/>
  <c r="C5" i="5"/>
  <c r="B19" i="5"/>
  <c r="E31" i="10" s="1"/>
  <c r="F26" i="2"/>
  <c r="F6" i="10" l="1"/>
  <c r="G6" i="10"/>
  <c r="F31" i="10"/>
  <c r="G31" i="10"/>
  <c r="F15" i="10"/>
  <c r="G15" i="10"/>
  <c r="D24" i="9"/>
  <c r="C23" i="9"/>
  <c r="F23" i="9"/>
  <c r="K15" i="9"/>
  <c r="L16" i="9"/>
  <c r="G19" i="6"/>
  <c r="F19" i="6"/>
  <c r="H20" i="6"/>
  <c r="G20" i="6" s="1"/>
  <c r="H22" i="6"/>
  <c r="G22" i="6" s="1"/>
  <c r="F21" i="6"/>
  <c r="G21" i="6"/>
  <c r="C19" i="5"/>
  <c r="B20" i="5"/>
  <c r="H36" i="4"/>
  <c r="F40" i="4"/>
  <c r="H40" i="4" s="1"/>
  <c r="I40" i="4" s="1"/>
  <c r="E40" i="4"/>
  <c r="F38" i="4"/>
  <c r="H38" i="4" s="1"/>
  <c r="I38" i="4" s="1"/>
  <c r="H35" i="4"/>
  <c r="I35" i="4" s="1"/>
  <c r="F35" i="4"/>
  <c r="I33" i="4"/>
  <c r="H31" i="4"/>
  <c r="I31" i="4" s="1"/>
  <c r="F31" i="4"/>
  <c r="F29" i="4"/>
  <c r="H29" i="4" s="1"/>
  <c r="I29" i="4" s="1"/>
  <c r="H26" i="4"/>
  <c r="H16" i="4"/>
  <c r="G33" i="10" l="1"/>
  <c r="M6" i="10"/>
  <c r="M8" i="10" s="1"/>
  <c r="M10" i="10" s="1"/>
  <c r="G16" i="10"/>
  <c r="G17" i="10" s="1"/>
  <c r="G18" i="10" s="1"/>
  <c r="J15" i="10"/>
  <c r="K16" i="9"/>
  <c r="L17" i="9"/>
  <c r="F25" i="9"/>
  <c r="C24" i="9"/>
  <c r="C20" i="5"/>
  <c r="B21" i="5"/>
  <c r="I42" i="4"/>
  <c r="I36" i="4"/>
  <c r="F20" i="4"/>
  <c r="H20" i="4" s="1"/>
  <c r="I20" i="4" s="1"/>
  <c r="E20" i="4"/>
  <c r="F18" i="4"/>
  <c r="H18" i="4" s="1"/>
  <c r="I18" i="4" s="1"/>
  <c r="I14" i="4"/>
  <c r="F16" i="4"/>
  <c r="I16" i="4" s="1"/>
  <c r="F12" i="4"/>
  <c r="H12" i="4" s="1"/>
  <c r="I12" i="4" s="1"/>
  <c r="H7" i="4"/>
  <c r="F10" i="4"/>
  <c r="H10" i="4" s="1"/>
  <c r="G19" i="10" l="1"/>
  <c r="G20" i="10" s="1"/>
  <c r="J19" i="10" s="1"/>
  <c r="M19" i="10" s="1"/>
  <c r="J18" i="10"/>
  <c r="M18" i="10" s="1"/>
  <c r="M15" i="10"/>
  <c r="M21" i="10" s="1"/>
  <c r="L18" i="9"/>
  <c r="K17" i="9"/>
  <c r="C21" i="5"/>
  <c r="B22" i="5"/>
  <c r="C22" i="5" s="1"/>
  <c r="I22" i="4"/>
  <c r="I10" i="4"/>
  <c r="U9" i="2"/>
  <c r="I9" i="2"/>
  <c r="J21" i="10" l="1"/>
  <c r="L19" i="9"/>
  <c r="K18" i="9"/>
  <c r="J15" i="2"/>
  <c r="R15" i="2" s="1"/>
  <c r="V15" i="2" s="1"/>
  <c r="Y15" i="2" s="1"/>
  <c r="AC15" i="2" s="1"/>
  <c r="M15" i="2"/>
  <c r="O15" i="2" s="1"/>
  <c r="M13" i="2"/>
  <c r="O13" i="2" s="1"/>
  <c r="J13" i="2"/>
  <c r="R13" i="2" s="1"/>
  <c r="V13" i="2" s="1"/>
  <c r="Y13" i="2" s="1"/>
  <c r="AC13" i="2" s="1"/>
  <c r="T16" i="2"/>
  <c r="D12" i="2"/>
  <c r="D13" i="2"/>
  <c r="D15" i="2"/>
  <c r="D14" i="2" s="1"/>
  <c r="D16" i="2"/>
  <c r="D18" i="2"/>
  <c r="D19" i="2"/>
  <c r="D20" i="2"/>
  <c r="D11" i="2"/>
  <c r="D9" i="2"/>
  <c r="D8" i="2"/>
  <c r="D7" i="2"/>
  <c r="D6" i="2"/>
  <c r="D5" i="2"/>
  <c r="J12" i="2"/>
  <c r="R12" i="2" s="1"/>
  <c r="V12" i="2" s="1"/>
  <c r="Y12" i="2" s="1"/>
  <c r="AC12" i="2" s="1"/>
  <c r="M12" i="2"/>
  <c r="O12" i="2" s="1"/>
  <c r="M11" i="2"/>
  <c r="O11" i="2" s="1"/>
  <c r="J11" i="2"/>
  <c r="R11" i="2" s="1"/>
  <c r="V11" i="2" s="1"/>
  <c r="Y11" i="2" s="1"/>
  <c r="AC11" i="2" s="1"/>
  <c r="M9" i="2"/>
  <c r="O9" i="2" s="1"/>
  <c r="J9" i="2"/>
  <c r="R9" i="2" s="1"/>
  <c r="V9" i="2" s="1"/>
  <c r="Y9" i="2" s="1"/>
  <c r="AC9" i="2" s="1"/>
  <c r="AA7" i="2"/>
  <c r="M7" i="2"/>
  <c r="O7" i="2" s="1"/>
  <c r="J7" i="2"/>
  <c r="R7" i="2" s="1"/>
  <c r="V7" i="2" s="1"/>
  <c r="Y7" i="2" s="1"/>
  <c r="AC7" i="2" s="1"/>
  <c r="AB6" i="2"/>
  <c r="Z6" i="2"/>
  <c r="T6" i="2"/>
  <c r="U6" i="2" s="1"/>
  <c r="M6" i="2"/>
  <c r="O6" i="2" s="1"/>
  <c r="J6" i="2"/>
  <c r="R6" i="2" s="1"/>
  <c r="V6" i="2" s="1"/>
  <c r="Y6" i="2" s="1"/>
  <c r="AC6" i="2" s="1"/>
  <c r="M5" i="2"/>
  <c r="O5" i="2" s="1"/>
  <c r="J5" i="2"/>
  <c r="R5" i="2" s="1"/>
  <c r="V5" i="2" s="1"/>
  <c r="Y5" i="2" s="1"/>
  <c r="AC5" i="2" s="1"/>
  <c r="N21" i="2"/>
  <c r="T5" i="2"/>
  <c r="T7" i="2"/>
  <c r="T8" i="2"/>
  <c r="T9" i="2"/>
  <c r="T11" i="2"/>
  <c r="T12" i="2"/>
  <c r="T13" i="2"/>
  <c r="T15" i="2"/>
  <c r="T4" i="2"/>
  <c r="AB8" i="2"/>
  <c r="AA20" i="2"/>
  <c r="AA18" i="2"/>
  <c r="AA16" i="2"/>
  <c r="AA8" i="2"/>
  <c r="AA9" i="2"/>
  <c r="AA11" i="2"/>
  <c r="AA12" i="2"/>
  <c r="AA13" i="2"/>
  <c r="AA15" i="2"/>
  <c r="AA5" i="2"/>
  <c r="AA6" i="2"/>
  <c r="AA4" i="2"/>
  <c r="J8" i="2"/>
  <c r="X5" i="2"/>
  <c r="X6" i="2"/>
  <c r="X7" i="2"/>
  <c r="X8" i="2"/>
  <c r="X9" i="2"/>
  <c r="X11" i="2"/>
  <c r="X12" i="2"/>
  <c r="X13" i="2"/>
  <c r="X15" i="2"/>
  <c r="X16" i="2"/>
  <c r="X18" i="2"/>
  <c r="X19" i="2"/>
  <c r="X20" i="2"/>
  <c r="X4" i="2"/>
  <c r="X21" i="2" s="1"/>
  <c r="Q21" i="2"/>
  <c r="G21" i="2"/>
  <c r="J4" i="2"/>
  <c r="J16" i="2"/>
  <c r="R16" i="2" s="1"/>
  <c r="V16" i="2" s="1"/>
  <c r="Y16" i="2" s="1"/>
  <c r="AC16" i="2" s="1"/>
  <c r="J20" i="2"/>
  <c r="J19" i="2"/>
  <c r="J18" i="2"/>
  <c r="Z19" i="2"/>
  <c r="AA19" i="2" s="1"/>
  <c r="T20" i="2"/>
  <c r="U20" i="2" s="1"/>
  <c r="T19" i="2"/>
  <c r="U19" i="2" s="1"/>
  <c r="T18" i="2"/>
  <c r="U18" i="2" s="1"/>
  <c r="F7" i="3"/>
  <c r="F8" i="3"/>
  <c r="F9" i="3"/>
  <c r="F10" i="3"/>
  <c r="F11" i="3"/>
  <c r="F12" i="3"/>
  <c r="F13" i="3"/>
  <c r="F14" i="3"/>
  <c r="F15" i="3"/>
  <c r="F6" i="3"/>
  <c r="C7" i="3"/>
  <c r="C8" i="3"/>
  <c r="C9" i="3"/>
  <c r="C10" i="3"/>
  <c r="C11" i="3"/>
  <c r="C12" i="3"/>
  <c r="C13" i="3"/>
  <c r="C14" i="3"/>
  <c r="C15" i="3"/>
  <c r="C6" i="3"/>
  <c r="M16" i="2"/>
  <c r="O16" i="2" s="1"/>
  <c r="K23" i="10" l="1"/>
  <c r="J24" i="10"/>
  <c r="L20" i="9"/>
  <c r="K19" i="9"/>
  <c r="U21" i="2"/>
  <c r="Z21" i="2"/>
  <c r="AA22" i="2" s="1"/>
  <c r="AA21" i="2"/>
  <c r="R19" i="2"/>
  <c r="V19" i="2" s="1"/>
  <c r="Y19" i="2" s="1"/>
  <c r="AC19" i="2" s="1"/>
  <c r="R20" i="2"/>
  <c r="V20" i="2" s="1"/>
  <c r="Y20" i="2" s="1"/>
  <c r="AC20" i="2" s="1"/>
  <c r="R18" i="2"/>
  <c r="V18" i="2" s="1"/>
  <c r="Y18" i="2" s="1"/>
  <c r="AC18" i="2" s="1"/>
  <c r="M19" i="2"/>
  <c r="O19" i="2" s="1"/>
  <c r="M20" i="2"/>
  <c r="O20" i="2" s="1"/>
  <c r="M18" i="2"/>
  <c r="O18" i="2" s="1"/>
  <c r="R4" i="2"/>
  <c r="V4" i="2" s="1"/>
  <c r="Y4" i="2" s="1"/>
  <c r="AC4" i="2" s="1"/>
  <c r="M4" i="2"/>
  <c r="R8" i="2"/>
  <c r="V8" i="2" s="1"/>
  <c r="Y8" i="2" s="1"/>
  <c r="AC8" i="2" s="1"/>
  <c r="O8" i="2"/>
  <c r="M8" i="2"/>
  <c r="M21" i="2" l="1"/>
  <c r="J25" i="10"/>
  <c r="K24" i="10"/>
  <c r="K25" i="10" s="1"/>
  <c r="M24" i="10"/>
  <c r="M25" i="10" s="1"/>
  <c r="K20" i="9"/>
  <c r="L21" i="9"/>
  <c r="O4" i="2"/>
  <c r="D8" i="1"/>
  <c r="C27" i="1"/>
  <c r="D25" i="1"/>
  <c r="D23" i="1"/>
  <c r="D19" i="1"/>
  <c r="C19" i="1"/>
  <c r="B25" i="1"/>
  <c r="B23" i="1"/>
  <c r="B21" i="1"/>
  <c r="B19" i="1"/>
  <c r="K21" i="9" l="1"/>
  <c r="L22" i="9"/>
  <c r="K22" i="9" l="1"/>
  <c r="L23" i="9"/>
  <c r="K23" i="9" l="1"/>
  <c r="L24" i="9"/>
  <c r="K24" i="9" s="1"/>
</calcChain>
</file>

<file path=xl/comments1.xml><?xml version="1.0" encoding="utf-8"?>
<comments xmlns="http://schemas.openxmlformats.org/spreadsheetml/2006/main">
  <authors>
    <author>Johnston</author>
  </authors>
  <commentList>
    <comment ref="G7" authorId="0">
      <text>
        <r>
          <rPr>
            <b/>
            <sz val="8"/>
            <color indexed="81"/>
            <rFont val="Tahoma"/>
            <family val="2"/>
          </rPr>
          <t>Drive 29km NW to St-Etienne-de-Cuines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 xml:space="preserve">La Chambre
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Col de la Madeleine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Drive to La Grave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It is assumed that 6 of our 12 Climb Participants will skip the scheduled climb and drive to Sault in the morning, enbling the other 6 Climb Participants to drive to Sault in the afternoon.</t>
        </r>
      </text>
    </comment>
    <comment ref="K18" authorId="0">
      <text>
        <r>
          <rPr>
            <b/>
            <sz val="8"/>
            <color indexed="81"/>
            <rFont val="Tahoma"/>
            <family val="2"/>
          </rPr>
          <t>Bédoin</t>
        </r>
      </text>
    </comment>
    <comment ref="L18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K19" authorId="0">
      <text>
        <r>
          <rPr>
            <b/>
            <sz val="8"/>
            <color indexed="81"/>
            <rFont val="Tahoma"/>
            <family val="2"/>
          </rPr>
          <t>Malaucene</t>
        </r>
      </text>
    </comment>
    <comment ref="L19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L20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</commentList>
</comments>
</file>

<file path=xl/comments2.xml><?xml version="1.0" encoding="utf-8"?>
<comments xmlns="http://schemas.openxmlformats.org/spreadsheetml/2006/main">
  <authors>
    <author>Johnston</author>
  </authors>
  <commentList>
    <comment ref="H14" authorId="0">
      <text>
        <r>
          <rPr>
            <b/>
            <sz val="8"/>
            <color indexed="81"/>
            <rFont val="Tahoma"/>
            <family val="2"/>
          </rPr>
          <t>http://www.eurorailways.com/products/trains_tickets/avipar.htm</t>
        </r>
      </text>
    </comment>
    <comment ref="F16" authorId="0">
      <text>
        <r>
          <rPr>
            <b/>
            <sz val="8"/>
            <color indexed="81"/>
            <rFont val="Tahoma"/>
            <family val="2"/>
          </rPr>
          <t xml:space="preserve">one fifth of 5 rider costs
</t>
        </r>
      </text>
    </comment>
    <comment ref="H33" authorId="0">
      <text>
        <r>
          <rPr>
            <b/>
            <sz val="8"/>
            <color indexed="81"/>
            <rFont val="Tahoma"/>
            <family val="2"/>
          </rPr>
          <t>http://www.eurorailways.com/products/trains_tickets/avipar.htm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 xml:space="preserve">one fifth of 5 rider costs
</t>
        </r>
      </text>
    </comment>
  </commentList>
</comments>
</file>

<file path=xl/comments3.xml><?xml version="1.0" encoding="utf-8"?>
<comments xmlns="http://schemas.openxmlformats.org/spreadsheetml/2006/main">
  <authors>
    <author>Phil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Phil: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Johnston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 xml:space="preserve">13 days in Tahoe
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16
 days with Natalie</t>
        </r>
      </text>
    </comment>
    <comment ref="F27" authorId="0">
      <text>
        <r>
          <rPr>
            <b/>
            <sz val="8"/>
            <color indexed="81"/>
            <rFont val="Tahoma"/>
            <family val="2"/>
          </rPr>
          <t>2 nights in Seattle Natalie</t>
        </r>
      </text>
    </comment>
  </commentList>
</comments>
</file>

<file path=xl/comments5.xml><?xml version="1.0" encoding="utf-8"?>
<comments xmlns="http://schemas.openxmlformats.org/spreadsheetml/2006/main">
  <authors>
    <author>Johnston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 xml:space="preserve">13 days in Tahoe
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16
 days with Natalie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2 nights in Seattle Natalie</t>
        </r>
      </text>
    </comment>
  </commentList>
</comments>
</file>

<file path=xl/sharedStrings.xml><?xml version="1.0" encoding="utf-8"?>
<sst xmlns="http://schemas.openxmlformats.org/spreadsheetml/2006/main" count="599" uniqueCount="294">
  <si>
    <t>Grenoble station</t>
  </si>
  <si>
    <t>Saint Jean de Maurienne</t>
  </si>
  <si>
    <t>Bourg d'Oisan</t>
  </si>
  <si>
    <t>Region</t>
  </si>
  <si>
    <t>km</t>
  </si>
  <si>
    <t>Sault, Vaucluse</t>
  </si>
  <si>
    <t>Total</t>
  </si>
  <si>
    <t>Day</t>
  </si>
  <si>
    <t>Date</t>
  </si>
  <si>
    <t>Col de la Madeleine - up / down from La Chambre</t>
  </si>
  <si>
    <t>Alt. Start m.</t>
  </si>
  <si>
    <t>Alt. Apex Climb m.</t>
  </si>
  <si>
    <t>Depart Base Camp</t>
  </si>
  <si>
    <t>Distance of climb km</t>
  </si>
  <si>
    <t>Vert elevation</t>
  </si>
  <si>
    <t>Turn around time</t>
  </si>
  <si>
    <t>Col la Toussuire, descend FontCouverte</t>
  </si>
  <si>
    <t>Drive to Start km</t>
  </si>
  <si>
    <t>KOM Nosh Stop time</t>
  </si>
  <si>
    <t>Climb</t>
  </si>
  <si>
    <t>Elev.</t>
  </si>
  <si>
    <t>Av.</t>
  </si>
  <si>
    <t>Grade</t>
  </si>
  <si>
    <t>Length</t>
  </si>
  <si>
    <t>Profile</t>
  </si>
  <si>
    <t>Difficulty</t>
  </si>
  <si>
    <t>Index</t>
  </si>
  <si>
    <t>Col du Galibier (&amp; Telegraphe)</t>
  </si>
  <si>
    <t>click...</t>
  </si>
  <si>
    <t>Col du Glandon</t>
  </si>
  <si>
    <t>Col de la Croix de Fer</t>
  </si>
  <si>
    <t>Col de Sarenne</t>
  </si>
  <si>
    <t>Col du Grand Colombier</t>
  </si>
  <si>
    <t>Alpe d'Huez</t>
  </si>
  <si>
    <t>La Toussuire</t>
  </si>
  <si>
    <t>Mont Revard</t>
  </si>
  <si>
    <t>Col du Mollard</t>
  </si>
  <si>
    <t>Col du Grand Cucheron</t>
  </si>
  <si>
    <t>Gain ft</t>
  </si>
  <si>
    <t>Length miles</t>
  </si>
  <si>
    <t>Elev. m</t>
  </si>
  <si>
    <t>KOM clock time</t>
  </si>
  <si>
    <t>Remain-ing ride distance km</t>
  </si>
  <si>
    <t>Remain-ing ride time</t>
  </si>
  <si>
    <t>Mt Ventoux from Bédoin return Sault</t>
  </si>
  <si>
    <t>Mt Ventoux from Malaucene return Bédoin</t>
  </si>
  <si>
    <t>Mt Ventoux from Sault return Sault</t>
  </si>
  <si>
    <t>Total ride distance km</t>
  </si>
  <si>
    <t>Drive from Finish km</t>
  </si>
  <si>
    <t>Agg. drive km</t>
  </si>
  <si>
    <t>Base camp return time</t>
  </si>
  <si>
    <t>Drive time min</t>
  </si>
  <si>
    <t xml:space="preserve"> </t>
  </si>
  <si>
    <t>Drive home time min</t>
  </si>
  <si>
    <t>Col du Mollard, return Fontcouverte la Toussuire</t>
  </si>
  <si>
    <t>Col du Telegraphe &amp; Col du Galibier retrace to St-M-de-M.</t>
  </si>
  <si>
    <t>Start climb</t>
  </si>
  <si>
    <t>Col du Glandon &amp; Croix de Fer descend FontCouverte</t>
  </si>
  <si>
    <t xml:space="preserve">Les Deux Alpes, retrace via Le Chambon </t>
  </si>
  <si>
    <t>Col du Lautaret &amp; Col du Galibier</t>
  </si>
  <si>
    <t>Villard Reymond</t>
  </si>
  <si>
    <t>BC</t>
  </si>
  <si>
    <t>Col de Sarenne from Rochetaillée descend Alpe d'Huez</t>
  </si>
  <si>
    <t>Les Karellis - up 'n back down</t>
  </si>
  <si>
    <t>Bourg d'Oisans to Alpe d'Huez return Col de Sarenne</t>
  </si>
  <si>
    <r>
      <rPr>
        <b/>
        <i/>
        <sz val="14"/>
        <color rgb="FF0000CC"/>
        <rFont val="Arial"/>
        <family val="2"/>
      </rPr>
      <t>Tour de Conquer</t>
    </r>
    <r>
      <rPr>
        <b/>
        <sz val="14"/>
        <color rgb="FF0000CC"/>
        <rFont val="Arial"/>
        <family val="2"/>
      </rPr>
      <t xml:space="preserve">   -  Daily Rides Schedule</t>
    </r>
  </si>
  <si>
    <t>Total climb &amp; ride times</t>
  </si>
  <si>
    <t>Total Climb times</t>
  </si>
  <si>
    <t>Ave. Gradient</t>
  </si>
  <si>
    <t>Peak Gradient</t>
  </si>
  <si>
    <t>Ride finish time</t>
  </si>
  <si>
    <t>Per head</t>
  </si>
  <si>
    <t>EURO €</t>
  </si>
  <si>
    <t>AUD $</t>
  </si>
  <si>
    <t>Hotel accommodation (twin share) per night</t>
  </si>
  <si>
    <t xml:space="preserve">Exchange rate AUD$1 = </t>
  </si>
  <si>
    <t>Meals per day</t>
  </si>
  <si>
    <t>Alcohol</t>
  </si>
  <si>
    <t>Return flight if booked by end February - usually 30kg luggage allowance</t>
  </si>
  <si>
    <t>5 riders per 7 seater Renault from EuropCar for 15 days collecting at Lyon on Tues 4 Sept and return to Avignon on Wed 19 Sept</t>
  </si>
  <si>
    <t>Train from Avignon (72km from Sault) to Paris</t>
  </si>
  <si>
    <t>Below costs are baesd on twin-share Holel accommodation</t>
  </si>
  <si>
    <t>Below costs are baesd on camping in a tent on your own</t>
  </si>
  <si>
    <t>Camping in your tent</t>
  </si>
  <si>
    <t>plus 30% loading for van to carry tent, sleeping bag and bed mat</t>
  </si>
  <si>
    <t>feet</t>
  </si>
  <si>
    <t>feet in a metre</t>
  </si>
  <si>
    <t>Col du Galibier</t>
  </si>
  <si>
    <t>Open adjoining worksheet '14 days climb stats'</t>
  </si>
  <si>
    <t>Drive to Avignon.  Return 7 seater van.  Stay in Avignon overnight.</t>
  </si>
  <si>
    <t>Catch train to Paris and stay in hotel that night.</t>
  </si>
  <si>
    <t>Look around Paris and stay in hotel o'nite.</t>
  </si>
  <si>
    <t>Fly out of Paris</t>
  </si>
  <si>
    <t>19 days / 18 nights schedule</t>
  </si>
  <si>
    <r>
      <rPr>
        <b/>
        <i/>
        <sz val="12"/>
        <color theme="1"/>
        <rFont val="Arial"/>
        <family val="2"/>
      </rPr>
      <t>Tour de Conquer</t>
    </r>
    <r>
      <rPr>
        <b/>
        <sz val="12"/>
        <color theme="1"/>
        <rFont val="Arial"/>
        <family val="2"/>
      </rPr>
      <t xml:space="preserve"> costs - 19 days / 18 nights in France - flying into Paris on Tues 4 Sept and flying from Paris on Sat. 22 Sept</t>
    </r>
  </si>
  <si>
    <t>Avignon</t>
  </si>
  <si>
    <t>Philip James Johnston  -  Travel schedule  -  Aug / Sept '12</t>
  </si>
  <si>
    <t>Airline - train  -  bus</t>
  </si>
  <si>
    <t>Flight #</t>
  </si>
  <si>
    <t>From - To</t>
  </si>
  <si>
    <t>Time</t>
  </si>
  <si>
    <t>Airport wait time</t>
  </si>
  <si>
    <t>Depart</t>
  </si>
  <si>
    <t>Qantas</t>
  </si>
  <si>
    <t>  Sydney</t>
  </si>
  <si>
    <t>13 days at Lake Tahoe</t>
  </si>
  <si>
    <t>Arrive</t>
  </si>
  <si>
    <t>LAX</t>
  </si>
  <si>
    <t>Southwest Air</t>
  </si>
  <si>
    <t>Reno-Tahoe</t>
  </si>
  <si>
    <t>Wed 15th Reno to Va.</t>
  </si>
  <si>
    <t>USD142</t>
  </si>
  <si>
    <t>Seattle/Tacoma Int'l Arpt</t>
  </si>
  <si>
    <t>Light rail from Seattle Tacoma Airport to International District Chinatown Light Rail Station in 35 mins for $2.50. Go up the stairs/escalator/elevator from the office buildings to 4th Ave. Cross to the other side of 4th Ave. Go down the stairs/elevator to the Amtrak train pl</t>
  </si>
  <si>
    <t>Amtrak Cascades bus</t>
  </si>
  <si>
    <t>303 South Jackson St, King St Station, Seattle</t>
  </si>
  <si>
    <t>USD45</t>
  </si>
  <si>
    <t>King Street Station Information</t>
  </si>
  <si>
    <t>Vancouver station</t>
  </si>
  <si>
    <t>WestJets</t>
  </si>
  <si>
    <t>WS538</t>
  </si>
  <si>
    <t>Vancouver airport</t>
  </si>
  <si>
    <t>Sat 18th Va to Banff</t>
  </si>
  <si>
    <t>AUD460</t>
  </si>
  <si>
    <t xml:space="preserve"> Calgary YYC airport</t>
  </si>
  <si>
    <t>Banff Airporter bus</t>
  </si>
  <si>
    <t xml:space="preserve">Banff </t>
  </si>
  <si>
    <t>Meet Sunday 19th, 8am at the hotel in Banff, ready to ride from near Kootenay Lodge and finish in Banff late Friday 24th Aug</t>
  </si>
  <si>
    <t>La bicyclette</t>
  </si>
  <si>
    <t>Kootenay Lodge, Banff</t>
  </si>
  <si>
    <t>Cycle Sun 19th to Fri 24th</t>
  </si>
  <si>
    <t>Jasper</t>
  </si>
  <si>
    <t>Bus from Jasper to Banff</t>
  </si>
  <si>
    <t>Bus from Banff to Calgary</t>
  </si>
  <si>
    <t>After one day's touring Calgary, fly back to Va.</t>
  </si>
  <si>
    <t>Return to Va.</t>
  </si>
  <si>
    <t>Thruway</t>
  </si>
  <si>
    <t>Bus to Seattle to stay with Ray/Peggy 2 nights</t>
  </si>
  <si>
    <t>Seattle station</t>
  </si>
  <si>
    <t>Lufthansa</t>
  </si>
  <si>
    <t>Fly from Seattle to Paris, via Frankfurt in 1 day</t>
  </si>
  <si>
    <t>Frankfurt Int'l - Terminal 1</t>
  </si>
  <si>
    <t>C de G I'ntl Airport Paris - Term 1</t>
  </si>
  <si>
    <t>TVG train</t>
  </si>
  <si>
    <t>Terminal 2, C de G station</t>
  </si>
  <si>
    <t>Train from Paris to Grenoble, via Lyon</t>
  </si>
  <si>
    <t>People mover</t>
  </si>
  <si>
    <t>Grenoble</t>
  </si>
  <si>
    <t>People mover from Grenoble to 1st Base Camp</t>
  </si>
  <si>
    <t>People mover from 1st Base Camp to 2nd Base Camp</t>
  </si>
  <si>
    <t>People mover from 2nd Base Camp to 3rd Base Camp</t>
  </si>
  <si>
    <t>People mover from 3rd Base Camp to Avignon</t>
  </si>
  <si>
    <t>Train from Avignon to Paris</t>
  </si>
  <si>
    <t>Swiss</t>
  </si>
  <si>
    <t>Fly home from Paris via Zurich and Bangkok</t>
  </si>
  <si>
    <t>Zurich</t>
  </si>
  <si>
    <t>Bangkok</t>
  </si>
  <si>
    <t>Sydney</t>
  </si>
  <si>
    <t>Bike ride 19-24th Aug</t>
  </si>
  <si>
    <t xml:space="preserve"> - 6 days cycling</t>
  </si>
  <si>
    <t>1st Base Camp</t>
  </si>
  <si>
    <t>2nd Base Camp</t>
  </si>
  <si>
    <t>3rd Base Camp</t>
  </si>
  <si>
    <t>Avignon station to Paris</t>
  </si>
  <si>
    <t>Selected sequence of Base Camps</t>
  </si>
  <si>
    <t>Alternative sequence of Base Camps is too long a drive to Sault, Vaucluse</t>
  </si>
  <si>
    <t>1st</t>
  </si>
  <si>
    <t>2nd</t>
  </si>
  <si>
    <t>3rd</t>
  </si>
  <si>
    <t xml:space="preserve">After above climb, drive 68km to 2nd Base Camp - B-d’O </t>
  </si>
  <si>
    <t>Bourg d'Oisans to La Bérarde, retrace to Bourg d'Oisans</t>
  </si>
  <si>
    <t>Climb difficulty rating</t>
  </si>
  <si>
    <t>LAX or San Fran</t>
  </si>
  <si>
    <t>Fly from Seattle to Paris in 1 day</t>
  </si>
  <si>
    <t>C de G I'ntl Airport Paris</t>
  </si>
  <si>
    <t>Destination</t>
  </si>
  <si>
    <t>C de G I'ntl Airport Paris to Sydney with 1 or 2 stopovers</t>
  </si>
  <si>
    <t>Seattle/Tacoma with up to 1 stopover</t>
  </si>
  <si>
    <t>Reno-Tahoe Airport</t>
  </si>
  <si>
    <t xml:space="preserve">Sydney </t>
  </si>
  <si>
    <t>Arrive Date</t>
  </si>
  <si>
    <t>Arrive Day</t>
  </si>
  <si>
    <t xml:space="preserve">From </t>
  </si>
  <si>
    <t>Depart Date</t>
  </si>
  <si>
    <t>Depart Day</t>
  </si>
  <si>
    <t>Nights in each Base Camp</t>
  </si>
  <si>
    <t>Chambery station</t>
  </si>
  <si>
    <t xml:space="preserve">Tour cost </t>
  </si>
  <si>
    <t xml:space="preserve">Single supplement </t>
  </si>
  <si>
    <t>Sub-total</t>
  </si>
  <si>
    <t>GST</t>
  </si>
  <si>
    <t xml:space="preserve">Le Colporteur Camp Ground </t>
  </si>
  <si>
    <t xml:space="preserve">2nd base camp in Bourg d'Oisans </t>
  </si>
  <si>
    <t xml:space="preserve">Personnes incluses dans le tarif  </t>
  </si>
  <si>
    <t>Nil</t>
  </si>
  <si>
    <t xml:space="preserve">Véhicules inclus dans le tarif </t>
  </si>
  <si>
    <t>6 personnes chalet</t>
  </si>
  <si>
    <t xml:space="preserve">Adulte de + de 13 ans  </t>
  </si>
  <si>
    <t>1st base camp in Saint Jean de Maurienne</t>
  </si>
  <si>
    <t xml:space="preserve">Camping des Grands Cols </t>
  </si>
  <si>
    <t>2 x two person chalets</t>
  </si>
  <si>
    <t xml:space="preserve">Land at Charles de Gaulle Airport in Paris.  Catch train from Terminal 2 at Airport to Lyon.  Change train to arrive at Chambery station.  </t>
  </si>
  <si>
    <t>Train from Terminal 2, Charles de Gaulle Airport Paris, to Lyon and onto Chambery</t>
  </si>
  <si>
    <t>Daily rate per chalet</t>
  </si>
  <si>
    <t xml:space="preserve">Taxe de séjour + de 13 ans  </t>
  </si>
  <si>
    <t xml:space="preserve">Frais de réservation </t>
  </si>
  <si>
    <t>AUD99.80</t>
  </si>
  <si>
    <t>O'standing</t>
  </si>
  <si>
    <t>Dep.Paid</t>
  </si>
  <si>
    <t>3rd base camp in Sault</t>
  </si>
  <si>
    <t>Train from Paris to Chambery, via Lyon</t>
  </si>
  <si>
    <t>People mover from Chambery to 1st Base Camp</t>
  </si>
  <si>
    <t>Chambery to St Jean</t>
  </si>
  <si>
    <t>St Jean de Maurienne to Bourg d'Oisan</t>
  </si>
  <si>
    <t>Bourg d'Oisan to Sault, Vaucluse</t>
  </si>
  <si>
    <t>Sault, Vaucluse to Avignon</t>
  </si>
  <si>
    <t>Collect people mover and bike racks and drive to Chambery.  Open adjoining worksheet '14 days climb stats'</t>
  </si>
  <si>
    <t>Eugene station</t>
  </si>
  <si>
    <t>Amtrak train</t>
  </si>
  <si>
    <r>
      <t xml:space="preserve">Tacoma station for 25 </t>
    </r>
    <r>
      <rPr>
        <b/>
        <sz val="8"/>
        <color theme="1"/>
        <rFont val="Arial"/>
        <family val="2"/>
      </rPr>
      <t>min</t>
    </r>
    <r>
      <rPr>
        <b/>
        <sz val="10"/>
        <color theme="1"/>
        <rFont val="Arial"/>
        <family val="2"/>
      </rPr>
      <t xml:space="preserve"> cab to S/T A'port</t>
    </r>
  </si>
  <si>
    <t>Early on Sun. 16th, drive 218km to 3rd Base Camp - Sault</t>
  </si>
  <si>
    <t>Early on day after 3rd climb, drive to Avignon - return vehicle by 10am</t>
  </si>
  <si>
    <t>14 days climbing and 4 days sight-seeing</t>
  </si>
  <si>
    <t>Paris</t>
  </si>
  <si>
    <t xml:space="preserve">Drive 74km SE from Chambery to 1st Base Camp - St Jean </t>
  </si>
  <si>
    <t xml:space="preserve">http://www.soundtransit.org/Schedules/Central-Link-light-rail.xml/ </t>
  </si>
  <si>
    <t xml:space="preserve">At the airport, take the Link Light Rail for 33 min to International District Station (Cnr 5th and Jackson) and the King Street Station (3rd and Jackson) which houses Amtrak.  </t>
  </si>
  <si>
    <t>When you come upstairs from the International District Station, walk down Jackson.  You will see the large King Tut statue, this the home of the King Street Station.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</si>
  <si>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</si>
  <si>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</si>
  <si>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</si>
  <si>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</si>
  <si>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</si>
  <si>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</si>
  <si>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</si>
  <si>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</si>
  <si>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</si>
  <si>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see OzForex receipt for 220Euro + $15 transfer fee</t>
  </si>
  <si>
    <t>Camp Grand 2nd Base Camp</t>
  </si>
  <si>
    <t>Rental car contributions</t>
  </si>
  <si>
    <t>David J</t>
  </si>
  <si>
    <t>DP, Scott &amp; Phil</t>
  </si>
  <si>
    <t>Hotel in Chambery</t>
  </si>
  <si>
    <t>Scott</t>
  </si>
  <si>
    <t>Phil</t>
  </si>
  <si>
    <t>Euro</t>
  </si>
  <si>
    <t>Dave</t>
  </si>
  <si>
    <t>Euro to AUD</t>
  </si>
  <si>
    <t>=3+(3*6)</t>
  </si>
  <si>
    <t xml:space="preserve">Beer </t>
  </si>
  <si>
    <t>each for DP, PJ &amp; ST</t>
  </si>
  <si>
    <t>each for DP, PJ, DJ &amp; ST</t>
  </si>
  <si>
    <t>dep. already paid by PJ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</si>
  <si>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</si>
  <si>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</si>
  <si>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</si>
  <si>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</si>
  <si>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</si>
  <si>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</si>
  <si>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</si>
  <si>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</si>
  <si>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Rental car</t>
  </si>
  <si>
    <t>Cost AUD</t>
  </si>
  <si>
    <t>Cost Euro</t>
  </si>
  <si>
    <t>Diesel_1</t>
  </si>
  <si>
    <t>Diesel_2</t>
  </si>
  <si>
    <t>PaidDJ</t>
  </si>
  <si>
    <t xml:space="preserve">Total </t>
  </si>
  <si>
    <t>TGV - St Jean de Maurienne to CDG Paris</t>
  </si>
  <si>
    <t>TGV - CDG Paris to Grenoble</t>
  </si>
  <si>
    <t>AUD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</si>
  <si>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</si>
  <si>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</si>
  <si>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</si>
  <si>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</si>
  <si>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</si>
  <si>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</si>
  <si>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</si>
  <si>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</si>
  <si>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</si>
  <si>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</si>
  <si>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</si>
  <si>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</si>
  <si>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Skype phone costs (7 refills @ $16)</t>
  </si>
  <si>
    <t>Cost</t>
  </si>
  <si>
    <t>5-Sept to 9 Sept</t>
  </si>
  <si>
    <t>Statement of Claim for out-of-pocket costs</t>
  </si>
  <si>
    <t>143.20 Euro</t>
  </si>
  <si>
    <t>83.90 Euro</t>
  </si>
  <si>
    <t>Excess baggage fee for bicycle</t>
  </si>
  <si>
    <t>USD$150</t>
  </si>
  <si>
    <t>Lufthansa invoice and '28 Degrees' MasterCard  statement</t>
  </si>
  <si>
    <t>TGV ticket invoice and 28 Degrees MasterCard statement</t>
  </si>
  <si>
    <t>Skype $16 chunks phone call Purchase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</si>
</sst>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[$EUR]\ #,##0.00"/>
    <numFmt numFmtId="169" formatCode="0\ &quot;days&quot;"/>
    <numFmt numFmtId="170" formatCode="[$EUR]\ #,##0"/>
    <numFmt numFmtId="171" formatCode="[$AUD]\ #,##0"/>
    <numFmt numFmtId="172" formatCode="[$AUD]\ #,##0;[Red]\-[$AUD]\ #,##0"/>
    <numFmt numFmtId="173" formatCode="[$-C09]dd\-mmm\-yy;@"/>
    <numFmt numFmtId="174" formatCode="[$AUD]\ #,##0.00"/>
    <numFmt numFmtId="175" formatCode="0\ &quot;persons&quot;"/>
    <numFmt numFmtId="176" formatCode="0.00\ &quot;Euro&quot;"/>
    <numFmt numFmtId="177" formatCode="&quot;$&quot;#,##0.00"/>
  </numFmts>
  <fonts count="4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rgb="FF222222"/>
      <name val="Arial"/>
      <family val="2"/>
    </font>
    <font>
      <sz val="11"/>
      <color rgb="FF333333"/>
      <name val="Arial"/>
      <family val="2"/>
    </font>
    <font>
      <b/>
      <u/>
      <sz val="11"/>
      <color theme="10"/>
      <name val="Arial"/>
      <family val="2"/>
    </font>
    <font>
      <sz val="11"/>
      <color rgb="FF333333"/>
      <name val="Verdana"/>
      <family val="2"/>
    </font>
    <font>
      <b/>
      <sz val="11"/>
      <color rgb="FF333333"/>
      <name val="Verdan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rgb="FF0000CC"/>
      <name val="Arial"/>
      <family val="2"/>
    </font>
    <font>
      <b/>
      <i/>
      <sz val="14"/>
      <color rgb="FF0000CC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theme="1"/>
      <name val="Arial"/>
      <family val="2"/>
    </font>
    <font>
      <sz val="11"/>
      <color rgb="FF222222"/>
      <name val="Arial"/>
      <family val="2"/>
    </font>
    <font>
      <sz val="10"/>
      <color theme="1"/>
      <name val="Arial Narrow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 Narrow"/>
      <family val="2"/>
    </font>
    <font>
      <b/>
      <i/>
      <sz val="8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8">
    <xf numFmtId="0" fontId="0" fillId="0" borderId="0" xfId="0"/>
    <xf numFmtId="20" fontId="0" fillId="0" borderId="0" xfId="0" applyNumberFormat="1"/>
    <xf numFmtId="0" fontId="0" fillId="2" borderId="0" xfId="0" applyFill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3" fontId="9" fillId="2" borderId="0" xfId="0" applyNumberFormat="1" applyFont="1" applyFill="1" applyAlignment="1">
      <alignment horizontal="center" vertical="center" wrapText="1"/>
    </xf>
    <xf numFmtId="43" fontId="9" fillId="0" borderId="0" xfId="2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15" fontId="13" fillId="0" borderId="0" xfId="0" applyNumberFormat="1" applyFont="1"/>
    <xf numFmtId="0" fontId="14" fillId="0" borderId="0" xfId="0" applyFont="1"/>
    <xf numFmtId="20" fontId="14" fillId="0" borderId="0" xfId="0" applyNumberFormat="1" applyFont="1"/>
    <xf numFmtId="0" fontId="5" fillId="0" borderId="0" xfId="0" applyFont="1" applyAlignment="1">
      <alignment horizontal="center"/>
    </xf>
    <xf numFmtId="0" fontId="15" fillId="0" borderId="0" xfId="0" applyFont="1"/>
    <xf numFmtId="9" fontId="14" fillId="0" borderId="0" xfId="0" applyNumberFormat="1" applyFont="1"/>
    <xf numFmtId="2" fontId="14" fillId="0" borderId="0" xfId="0" applyNumberFormat="1" applyFont="1"/>
    <xf numFmtId="0" fontId="13" fillId="6" borderId="0" xfId="0" applyFont="1" applyFill="1"/>
    <xf numFmtId="20" fontId="13" fillId="4" borderId="0" xfId="0" applyNumberFormat="1" applyFont="1" applyFill="1"/>
    <xf numFmtId="10" fontId="13" fillId="5" borderId="0" xfId="1" applyNumberFormat="1" applyFont="1" applyFill="1"/>
    <xf numFmtId="164" fontId="13" fillId="3" borderId="0" xfId="0" applyNumberFormat="1" applyFont="1" applyFill="1" applyAlignme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66" fontId="13" fillId="5" borderId="0" xfId="2" applyNumberFormat="1" applyFont="1" applyFill="1"/>
    <xf numFmtId="166" fontId="14" fillId="6" borderId="0" xfId="2" applyNumberFormat="1" applyFont="1" applyFill="1"/>
    <xf numFmtId="167" fontId="13" fillId="5" borderId="0" xfId="0" applyNumberFormat="1" applyFont="1" applyFill="1" applyAlignment="1">
      <alignment horizontal="right"/>
    </xf>
    <xf numFmtId="166" fontId="14" fillId="6" borderId="0" xfId="2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166" fontId="16" fillId="0" borderId="0" xfId="0" applyNumberFormat="1" applyFont="1" applyAlignment="1">
      <alignment horizontal="right"/>
    </xf>
    <xf numFmtId="20" fontId="0" fillId="6" borderId="0" xfId="0" applyNumberFormat="1" applyFill="1"/>
    <xf numFmtId="0" fontId="0" fillId="6" borderId="0" xfId="0" applyFill="1"/>
    <xf numFmtId="43" fontId="13" fillId="3" borderId="0" xfId="2" applyFont="1" applyFill="1" applyAlignment="1"/>
    <xf numFmtId="166" fontId="18" fillId="3" borderId="0" xfId="2" applyNumberFormat="1" applyFont="1" applyFill="1"/>
    <xf numFmtId="0" fontId="17" fillId="3" borderId="0" xfId="0" applyFont="1" applyFill="1"/>
    <xf numFmtId="165" fontId="13" fillId="3" borderId="0" xfId="2" applyNumberFormat="1" applyFont="1" applyFill="1" applyAlignment="1">
      <alignment horizontal="left"/>
    </xf>
    <xf numFmtId="20" fontId="13" fillId="6" borderId="0" xfId="0" applyNumberFormat="1" applyFont="1" applyFill="1"/>
    <xf numFmtId="167" fontId="13" fillId="5" borderId="0" xfId="1" applyNumberFormat="1" applyFont="1" applyFill="1"/>
    <xf numFmtId="0" fontId="4" fillId="0" borderId="0" xfId="3" applyFont="1"/>
    <xf numFmtId="165" fontId="13" fillId="3" borderId="0" xfId="2" applyNumberFormat="1" applyFont="1" applyFill="1" applyAlignment="1"/>
    <xf numFmtId="20" fontId="14" fillId="6" borderId="0" xfId="2" applyNumberFormat="1" applyFont="1" applyFill="1" applyAlignment="1">
      <alignment horizontal="right"/>
    </xf>
    <xf numFmtId="0" fontId="0" fillId="0" borderId="0" xfId="0" applyBorder="1"/>
    <xf numFmtId="20" fontId="19" fillId="0" borderId="0" xfId="0" applyNumberFormat="1" applyFont="1"/>
    <xf numFmtId="0" fontId="21" fillId="9" borderId="0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wrapText="1"/>
    </xf>
    <xf numFmtId="0" fontId="13" fillId="6" borderId="1" xfId="0" applyFont="1" applyFill="1" applyBorder="1"/>
    <xf numFmtId="166" fontId="13" fillId="5" borderId="1" xfId="2" applyNumberFormat="1" applyFont="1" applyFill="1" applyBorder="1"/>
    <xf numFmtId="0" fontId="17" fillId="3" borderId="1" xfId="0" applyFont="1" applyFill="1" applyBorder="1"/>
    <xf numFmtId="20" fontId="13" fillId="4" borderId="1" xfId="0" applyNumberFormat="1" applyFont="1" applyFill="1" applyBorder="1"/>
    <xf numFmtId="0" fontId="0" fillId="6" borderId="1" xfId="0" applyFill="1" applyBorder="1"/>
    <xf numFmtId="0" fontId="13" fillId="4" borderId="1" xfId="0" applyFont="1" applyFill="1" applyBorder="1" applyAlignment="1">
      <alignment horizontal="center" wrapText="1"/>
    </xf>
    <xf numFmtId="20" fontId="13" fillId="4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20" fontId="13" fillId="6" borderId="1" xfId="0" applyNumberFormat="1" applyFont="1" applyFill="1" applyBorder="1" applyAlignment="1">
      <alignment horizontal="center" wrapText="1"/>
    </xf>
    <xf numFmtId="20" fontId="20" fillId="0" borderId="0" xfId="0" applyNumberFormat="1" applyFont="1"/>
    <xf numFmtId="20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8" fillId="3" borderId="0" xfId="2" applyNumberFormat="1" applyFont="1" applyFill="1" applyAlignment="1"/>
    <xf numFmtId="164" fontId="17" fillId="3" borderId="0" xfId="0" applyNumberFormat="1" applyFont="1" applyFill="1" applyAlignment="1">
      <alignment horizontal="right"/>
    </xf>
    <xf numFmtId="164" fontId="17" fillId="3" borderId="1" xfId="0" applyNumberFormat="1" applyFont="1" applyFill="1" applyBorder="1" applyAlignment="1">
      <alignment horizontal="right"/>
    </xf>
    <xf numFmtId="0" fontId="21" fillId="9" borderId="0" xfId="0" applyFont="1" applyFill="1" applyAlignment="1">
      <alignment horizontal="center"/>
    </xf>
    <xf numFmtId="46" fontId="18" fillId="4" borderId="0" xfId="0" applyNumberFormat="1" applyFont="1" applyFill="1"/>
    <xf numFmtId="166" fontId="18" fillId="5" borderId="0" xfId="2" applyNumberFormat="1" applyFont="1" applyFill="1"/>
    <xf numFmtId="0" fontId="13" fillId="0" borderId="0" xfId="0" applyFont="1" applyAlignment="1">
      <alignment horizontal="center"/>
    </xf>
    <xf numFmtId="16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21" fillId="0" borderId="0" xfId="0" applyFont="1" applyAlignment="1">
      <alignment horizontal="center"/>
    </xf>
    <xf numFmtId="169" fontId="21" fillId="0" borderId="0" xfId="0" applyNumberFormat="1" applyFont="1"/>
    <xf numFmtId="171" fontId="3" fillId="0" borderId="0" xfId="3" applyNumberFormat="1"/>
    <xf numFmtId="172" fontId="0" fillId="0" borderId="0" xfId="0" applyNumberFormat="1"/>
    <xf numFmtId="0" fontId="22" fillId="0" borderId="0" xfId="0" applyFont="1"/>
    <xf numFmtId="171" fontId="24" fillId="0" borderId="0" xfId="0" applyNumberFormat="1" applyFont="1"/>
    <xf numFmtId="0" fontId="0" fillId="3" borderId="0" xfId="0" applyFill="1"/>
    <xf numFmtId="168" fontId="0" fillId="3" borderId="0" xfId="0" applyNumberFormat="1" applyFill="1"/>
    <xf numFmtId="169" fontId="21" fillId="0" borderId="0" xfId="0" applyNumberFormat="1" applyFont="1" applyAlignment="1">
      <alignment horizontal="center"/>
    </xf>
    <xf numFmtId="0" fontId="21" fillId="9" borderId="0" xfId="0" applyFont="1" applyFill="1"/>
    <xf numFmtId="0" fontId="0" fillId="9" borderId="0" xfId="0" applyFill="1"/>
    <xf numFmtId="171" fontId="21" fillId="0" borderId="0" xfId="0" applyNumberFormat="1" applyFont="1"/>
    <xf numFmtId="0" fontId="21" fillId="10" borderId="0" xfId="0" applyFont="1" applyFill="1"/>
    <xf numFmtId="0" fontId="0" fillId="10" borderId="0" xfId="0" applyFill="1"/>
    <xf numFmtId="0" fontId="25" fillId="0" borderId="0" xfId="0" applyFont="1"/>
    <xf numFmtId="43" fontId="14" fillId="0" borderId="0" xfId="2" applyFont="1"/>
    <xf numFmtId="15" fontId="0" fillId="0" borderId="0" xfId="0" applyNumberFormat="1" applyAlignment="1">
      <alignment horizontal="center"/>
    </xf>
    <xf numFmtId="0" fontId="21" fillId="0" borderId="0" xfId="3" applyFont="1"/>
    <xf numFmtId="0" fontId="13" fillId="0" borderId="0" xfId="0" applyFont="1" applyBorder="1"/>
    <xf numFmtId="0" fontId="13" fillId="6" borderId="0" xfId="0" applyFont="1" applyFill="1" applyBorder="1" applyAlignment="1">
      <alignment horizontal="center" wrapText="1"/>
    </xf>
    <xf numFmtId="20" fontId="13" fillId="4" borderId="0" xfId="0" applyNumberFormat="1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20" fontId="13" fillId="6" borderId="0" xfId="0" applyNumberFormat="1" applyFont="1" applyFill="1" applyBorder="1" applyAlignment="1">
      <alignment horizontal="center" wrapText="1"/>
    </xf>
    <xf numFmtId="0" fontId="26" fillId="0" borderId="1" xfId="0" applyFont="1" applyBorder="1"/>
    <xf numFmtId="15" fontId="13" fillId="0" borderId="0" xfId="0" applyNumberFormat="1" applyFont="1" applyBorder="1" applyAlignment="1">
      <alignment horizontal="right"/>
    </xf>
    <xf numFmtId="46" fontId="18" fillId="4" borderId="0" xfId="0" applyNumberFormat="1" applyFont="1" applyFill="1" applyAlignment="1">
      <alignment horizontal="right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11" borderId="5" xfId="0" applyFont="1" applyFill="1" applyBorder="1" applyAlignment="1">
      <alignment horizontal="center" vertical="center" wrapText="1"/>
    </xf>
    <xf numFmtId="0" fontId="29" fillId="11" borderId="6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15" fontId="21" fillId="11" borderId="6" xfId="0" applyNumberFormat="1" applyFont="1" applyFill="1" applyBorder="1" applyAlignment="1">
      <alignment horizontal="center" vertical="center" wrapText="1"/>
    </xf>
    <xf numFmtId="20" fontId="21" fillId="11" borderId="6" xfId="0" applyNumberFormat="1" applyFont="1" applyFill="1" applyBorder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0" fontId="21" fillId="9" borderId="6" xfId="0" applyFont="1" applyFill="1" applyBorder="1" applyAlignment="1">
      <alignment horizontal="center" vertical="center" wrapText="1"/>
    </xf>
    <xf numFmtId="173" fontId="21" fillId="9" borderId="6" xfId="0" applyNumberFormat="1" applyFont="1" applyFill="1" applyBorder="1" applyAlignment="1">
      <alignment horizontal="center" vertical="center" wrapText="1"/>
    </xf>
    <xf numFmtId="20" fontId="21" fillId="9" borderId="6" xfId="0" applyNumberFormat="1" applyFont="1" applyFill="1" applyBorder="1" applyAlignment="1">
      <alignment horizontal="center" vertical="center" wrapText="1"/>
    </xf>
    <xf numFmtId="0" fontId="4" fillId="9" borderId="6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vertical="center"/>
    </xf>
    <xf numFmtId="0" fontId="30" fillId="9" borderId="6" xfId="0" applyFont="1" applyFill="1" applyBorder="1" applyAlignment="1">
      <alignment horizontal="center" vertical="center" wrapText="1"/>
    </xf>
    <xf numFmtId="0" fontId="0" fillId="0" borderId="0" xfId="0" applyFont="1"/>
    <xf numFmtId="0" fontId="21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173" fontId="21" fillId="3" borderId="6" xfId="0" applyNumberFormat="1" applyFont="1" applyFill="1" applyBorder="1" applyAlignment="1">
      <alignment horizontal="center" vertical="center" wrapText="1"/>
    </xf>
    <xf numFmtId="20" fontId="21" fillId="3" borderId="6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3" borderId="6" xfId="0" applyFont="1" applyFill="1" applyBorder="1" applyAlignment="1">
      <alignment horizontal="center" vertical="center" wrapText="1"/>
    </xf>
    <xf numFmtId="15" fontId="21" fillId="3" borderId="6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15" fontId="21" fillId="3" borderId="5" xfId="0" applyNumberFormat="1" applyFont="1" applyFill="1" applyBorder="1" applyAlignment="1">
      <alignment horizontal="center" vertical="center" wrapText="1"/>
    </xf>
    <xf numFmtId="20" fontId="21" fillId="3" borderId="5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/>
    </xf>
    <xf numFmtId="15" fontId="21" fillId="6" borderId="6" xfId="0" applyNumberFormat="1" applyFont="1" applyFill="1" applyBorder="1" applyAlignment="1">
      <alignment horizontal="center" vertical="center" wrapText="1"/>
    </xf>
    <xf numFmtId="20" fontId="21" fillId="6" borderId="6" xfId="0" applyNumberFormat="1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0" fillId="0" borderId="0" xfId="0" quotePrefix="1"/>
    <xf numFmtId="0" fontId="3" fillId="2" borderId="0" xfId="3" applyFont="1" applyFill="1"/>
    <xf numFmtId="0" fontId="3" fillId="7" borderId="0" xfId="3" applyFont="1" applyFill="1"/>
    <xf numFmtId="0" fontId="3" fillId="8" borderId="0" xfId="3" applyFont="1" applyFill="1"/>
    <xf numFmtId="0" fontId="3" fillId="10" borderId="0" xfId="3" applyFont="1" applyFill="1"/>
    <xf numFmtId="0" fontId="21" fillId="11" borderId="5" xfId="0" applyFont="1" applyFill="1" applyBorder="1" applyAlignment="1">
      <alignment horizontal="center" vertical="center" wrapText="1"/>
    </xf>
    <xf numFmtId="15" fontId="21" fillId="11" borderId="5" xfId="0" applyNumberFormat="1" applyFont="1" applyFill="1" applyBorder="1" applyAlignment="1">
      <alignment horizontal="center" vertical="center" wrapText="1"/>
    </xf>
    <xf numFmtId="20" fontId="21" fillId="11" borderId="5" xfId="0" applyNumberFormat="1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8" fontId="0" fillId="0" borderId="0" xfId="0" applyNumberFormat="1"/>
    <xf numFmtId="0" fontId="34" fillId="9" borderId="0" xfId="0" applyFont="1" applyFill="1"/>
    <xf numFmtId="6" fontId="0" fillId="9" borderId="0" xfId="0" applyNumberFormat="1" applyFill="1"/>
    <xf numFmtId="6" fontId="24" fillId="9" borderId="0" xfId="0" applyNumberFormat="1" applyFont="1" applyFill="1"/>
    <xf numFmtId="9" fontId="0" fillId="9" borderId="0" xfId="0" applyNumberFormat="1" applyFill="1"/>
    <xf numFmtId="8" fontId="0" fillId="9" borderId="0" xfId="0" applyNumberFormat="1" applyFill="1"/>
    <xf numFmtId="0" fontId="35" fillId="9" borderId="0" xfId="0" applyFont="1" applyFill="1"/>
    <xf numFmtId="9" fontId="0" fillId="0" borderId="0" xfId="1" applyFont="1"/>
    <xf numFmtId="8" fontId="24" fillId="0" borderId="0" xfId="0" applyNumberFormat="1" applyFont="1"/>
    <xf numFmtId="8" fontId="24" fillId="9" borderId="0" xfId="0" applyNumberFormat="1" applyFont="1" applyFill="1"/>
    <xf numFmtId="0" fontId="36" fillId="0" borderId="0" xfId="0" applyFont="1"/>
    <xf numFmtId="0" fontId="0" fillId="0" borderId="0" xfId="0" applyAlignment="1">
      <alignment horizontal="right"/>
    </xf>
    <xf numFmtId="173" fontId="0" fillId="0" borderId="0" xfId="0" applyNumberFormat="1"/>
    <xf numFmtId="173" fontId="0" fillId="0" borderId="0" xfId="0" applyNumberFormat="1" applyAlignment="1">
      <alignment horizontal="center"/>
    </xf>
    <xf numFmtId="0" fontId="37" fillId="0" borderId="0" xfId="0" applyFont="1"/>
    <xf numFmtId="15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0" fontId="0" fillId="0" borderId="0" xfId="0" applyNumberFormat="1"/>
    <xf numFmtId="10" fontId="24" fillId="0" borderId="0" xfId="1" applyNumberFormat="1" applyFont="1"/>
    <xf numFmtId="168" fontId="0" fillId="0" borderId="1" xfId="0" applyNumberFormat="1" applyBorder="1"/>
    <xf numFmtId="174" fontId="0" fillId="0" borderId="0" xfId="0" applyNumberFormat="1"/>
    <xf numFmtId="174" fontId="24" fillId="0" borderId="0" xfId="0" applyNumberFormat="1" applyFont="1"/>
    <xf numFmtId="168" fontId="24" fillId="0" borderId="0" xfId="0" applyNumberFormat="1" applyFont="1"/>
    <xf numFmtId="0" fontId="24" fillId="0" borderId="0" xfId="0" applyFont="1"/>
    <xf numFmtId="0" fontId="0" fillId="0" borderId="0" xfId="0" applyFont="1" applyAlignment="1">
      <alignment horizontal="center"/>
    </xf>
    <xf numFmtId="170" fontId="0" fillId="0" borderId="0" xfId="0" applyNumberFormat="1" applyFont="1"/>
    <xf numFmtId="0" fontId="31" fillId="0" borderId="0" xfId="0" applyFont="1"/>
    <xf numFmtId="0" fontId="21" fillId="7" borderId="6" xfId="0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173" fontId="21" fillId="7" borderId="6" xfId="0" applyNumberFormat="1" applyFont="1" applyFill="1" applyBorder="1" applyAlignment="1">
      <alignment horizontal="center" vertical="center" wrapText="1"/>
    </xf>
    <xf numFmtId="20" fontId="21" fillId="7" borderId="6" xfId="0" applyNumberFormat="1" applyFont="1" applyFill="1" applyBorder="1" applyAlignment="1">
      <alignment horizontal="center" vertical="center" wrapText="1"/>
    </xf>
    <xf numFmtId="0" fontId="6" fillId="12" borderId="0" xfId="0" applyFont="1" applyFill="1"/>
    <xf numFmtId="0" fontId="5" fillId="12" borderId="0" xfId="0" applyFont="1" applyFill="1"/>
    <xf numFmtId="0" fontId="0" fillId="12" borderId="0" xfId="0" applyFill="1"/>
    <xf numFmtId="0" fontId="16" fillId="12" borderId="0" xfId="0" applyFont="1" applyFill="1"/>
    <xf numFmtId="0" fontId="16" fillId="12" borderId="0" xfId="0" applyFont="1" applyFill="1" applyAlignment="1">
      <alignment horizontal="center"/>
    </xf>
    <xf numFmtId="0" fontId="27" fillId="12" borderId="0" xfId="0" applyFont="1" applyFill="1"/>
    <xf numFmtId="0" fontId="3" fillId="9" borderId="6" xfId="3" applyFill="1" applyBorder="1" applyAlignment="1">
      <alignment horizontal="center" vertical="center" wrapText="1"/>
    </xf>
    <xf numFmtId="0" fontId="3" fillId="0" borderId="0" xfId="3"/>
    <xf numFmtId="0" fontId="37" fillId="0" borderId="0" xfId="0" applyFont="1" applyAlignment="1">
      <alignment vertical="center"/>
    </xf>
    <xf numFmtId="44" fontId="0" fillId="0" borderId="0" xfId="4" applyFont="1"/>
    <xf numFmtId="10" fontId="0" fillId="8" borderId="0" xfId="1" applyNumberFormat="1" applyFont="1" applyFill="1"/>
    <xf numFmtId="0" fontId="0" fillId="8" borderId="0" xfId="0" applyFill="1"/>
    <xf numFmtId="44" fontId="0" fillId="8" borderId="0" xfId="4" applyFont="1" applyFill="1"/>
    <xf numFmtId="44" fontId="39" fillId="8" borderId="0" xfId="4" applyFont="1" applyFill="1"/>
    <xf numFmtId="9" fontId="0" fillId="8" borderId="0" xfId="1" applyFont="1" applyFill="1"/>
    <xf numFmtId="44" fontId="0" fillId="8" borderId="0" xfId="0" applyNumberFormat="1" applyFill="1"/>
    <xf numFmtId="0" fontId="38" fillId="3" borderId="0" xfId="0" quotePrefix="1" applyFont="1" applyFill="1" applyAlignment="1">
      <alignment horizontal="center"/>
    </xf>
    <xf numFmtId="0" fontId="38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4" applyFont="1" applyFill="1"/>
    <xf numFmtId="44" fontId="39" fillId="3" borderId="0" xfId="4" applyFont="1" applyFill="1"/>
    <xf numFmtId="6" fontId="0" fillId="0" borderId="0" xfId="0" applyNumberFormat="1"/>
    <xf numFmtId="175" fontId="0" fillId="0" borderId="0" xfId="2" applyNumberFormat="1" applyFont="1"/>
    <xf numFmtId="44" fontId="0" fillId="0" borderId="0" xfId="0" applyNumberFormat="1"/>
    <xf numFmtId="176" fontId="0" fillId="0" borderId="0" xfId="0" applyNumberFormat="1"/>
    <xf numFmtId="177" fontId="0" fillId="0" borderId="0" xfId="0" applyNumberFormat="1"/>
    <xf numFmtId="8" fontId="0" fillId="3" borderId="0" xfId="0" applyNumberFormat="1" applyFill="1"/>
    <xf numFmtId="177" fontId="0" fillId="3" borderId="0" xfId="0" applyNumberFormat="1" applyFill="1"/>
    <xf numFmtId="177" fontId="0" fillId="0" borderId="10" xfId="0" applyNumberFormat="1" applyBorder="1"/>
    <xf numFmtId="177" fontId="0" fillId="0" borderId="1" xfId="0" applyNumberFormat="1" applyBorder="1"/>
    <xf numFmtId="0" fontId="21" fillId="0" borderId="0" xfId="0" applyFont="1"/>
    <xf numFmtId="177" fontId="26" fillId="0" borderId="0" xfId="0" applyNumberFormat="1" applyFont="1"/>
    <xf numFmtId="0" fontId="42" fillId="3" borderId="0" xfId="0" applyFont="1" applyFill="1"/>
    <xf numFmtId="177" fontId="0" fillId="9" borderId="0" xfId="0" applyNumberFormat="1" applyFill="1"/>
    <xf numFmtId="177" fontId="0" fillId="9" borderId="1" xfId="0" applyNumberFormat="1" applyFill="1" applyBorder="1"/>
    <xf numFmtId="0" fontId="0" fillId="9" borderId="1" xfId="0" applyFill="1" applyBorder="1"/>
    <xf numFmtId="0" fontId="0" fillId="10" borderId="0" xfId="0" applyFont="1" applyFill="1"/>
    <xf numFmtId="2" fontId="0" fillId="0" borderId="0" xfId="0" applyNumberFormat="1"/>
    <xf numFmtId="0" fontId="0" fillId="13" borderId="0" xfId="0" applyFill="1"/>
    <xf numFmtId="177" fontId="0" fillId="13" borderId="0" xfId="0" applyNumberFormat="1" applyFill="1"/>
    <xf numFmtId="177" fontId="0" fillId="13" borderId="1" xfId="0" applyNumberFormat="1" applyFill="1" applyBorder="1"/>
    <xf numFmtId="0" fontId="0" fillId="13" borderId="1" xfId="0" applyFill="1" applyBorder="1"/>
    <xf numFmtId="177" fontId="0" fillId="3" borderId="10" xfId="0" applyNumberFormat="1" applyFill="1" applyBorder="1"/>
    <xf numFmtId="0" fontId="21" fillId="0" borderId="0" xfId="0" applyFont="1" applyAlignment="1">
      <alignment horizontal="right"/>
    </xf>
    <xf numFmtId="0" fontId="43" fillId="0" borderId="0" xfId="0" applyFont="1"/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5">
    <cellStyle name="Comma" xfId="2" builtinId="3"/>
    <cellStyle name="Currency" xfId="4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99CCFF"/>
      <color rgb="FF66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ickets.amtrak.com/itd/amtrak" TargetMode="External"/><Relationship Id="rId7" Type="http://schemas.openxmlformats.org/officeDocument/2006/relationships/comments" Target="../comments4.xml"/><Relationship Id="rId2" Type="http://schemas.openxmlformats.org/officeDocument/2006/relationships/hyperlink" Target="http://www.amtrakcascades.com/Seattle.htm" TargetMode="External"/><Relationship Id="rId1" Type="http://schemas.openxmlformats.org/officeDocument/2006/relationships/hyperlink" Target="http://www.soundtransit.org/Schedules/Central-Link-light-rail.xml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tickets.amtrak.com/itd/amtra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tickets.amtrak.com/itd/amtrak" TargetMode="External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undtransit.org/Schedules/Central-Link-light-rail.xml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ggaccinos.com/Rides_Stuff/FranceCycleTour/Mont/2ndBC-LeBourg_d'Oisan/Les%20Deux%20Alpes/Les_Deux_Alpes.htm" TargetMode="External"/><Relationship Id="rId13" Type="http://schemas.openxmlformats.org/officeDocument/2006/relationships/hyperlink" Target="http://www.muggaccinos.com/Rides_Stuff/FranceCycleTour/Mont/1stBC-Jean_de_Maurienne/La_Madeleine/la_madeleine.htm" TargetMode="External"/><Relationship Id="rId18" Type="http://schemas.openxmlformats.org/officeDocument/2006/relationships/hyperlink" Target="http://www.muggaccinos.com/Rides_Stuff/FranceCycleTour/Mont/2ndBC-LeBourg_d'Oisan/La%20B&#233;rarde/Bourg_d'OisansToLaB&#233;rarde.htm" TargetMode="External"/><Relationship Id="rId3" Type="http://schemas.openxmlformats.org/officeDocument/2006/relationships/hyperlink" Target="http://www.muggaccinos.com/Rides_Stuff/FranceCycleTour/Mont/1stBC-Jean_de_Maurienne/La%20Toussuire/la_toussuire_from_saint_jean_de_M.htm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://www.muggaccinos.com/Rides_Stuff/FranceCycleTour/Mont/2ndBC-LeBourg_d'Oisan/Alpe_d'Heuz/Rochetaill&#233;e_side/Rochetaill&#233;e_to_Alpe%20d'Huez.htm" TargetMode="External"/><Relationship Id="rId12" Type="http://schemas.openxmlformats.org/officeDocument/2006/relationships/hyperlink" Target="http://www.muggaccinos.com/Rides_Stuff/FranceCycleTour/Mont/1stBC-Jean_de_Maurienne/Croix_de_%20Fer/Croix_de_Fer_from_St-Etienne.htm" TargetMode="External"/><Relationship Id="rId17" Type="http://schemas.openxmlformats.org/officeDocument/2006/relationships/hyperlink" Target="http://www.muggaccinos.com/Rides_Stuff/FranceCycleTour/Mont/1stBC-Jean_de_Maurienne/1stBC-Jean_de_Maurienne.htm" TargetMode="External"/><Relationship Id="rId2" Type="http://schemas.openxmlformats.org/officeDocument/2006/relationships/hyperlink" Target="http://www.muggaccinos.com/Rides_Stuff/FranceCycleTour/Mont/2ndBC-LeBourg_d'Oisan/Villard%20Reymond/villard_reymond.htm" TargetMode="External"/><Relationship Id="rId16" Type="http://schemas.openxmlformats.org/officeDocument/2006/relationships/hyperlink" Target="http://www.muggaccinos.com/Rides_Stuff/FranceCycleTour/Mont/1stBC-Jean_de_Maurienne/1stBC-Jean_de_Maurienne.ht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muggaccinos.com/Rides_Stuff/FranceCycleTour/Mont/2ndBC-LeBourg_d'Oisan/LeGalibier/Lautaret/col_du_lautaret.htm" TargetMode="External"/><Relationship Id="rId6" Type="http://schemas.openxmlformats.org/officeDocument/2006/relationships/hyperlink" Target="http://www.muggaccinos.com/Rides_Stuff/FranceCycleTour/Mont/3rdBC-.Sault/MtVentoux/B&#233;doin_side/B&#233;doin_to_Mont_Ventoux.htm" TargetMode="External"/><Relationship Id="rId11" Type="http://schemas.openxmlformats.org/officeDocument/2006/relationships/hyperlink" Target="http://www.muggaccinos.com/Rides_Stuff/FranceCycleTour/Mont/2ndBC-LeBourg_d'Oisan/LeGalibier/Saint%20Michel/St_Michel-de-Maur-Rhone-Alpes.htm" TargetMode="External"/><Relationship Id="rId5" Type="http://schemas.openxmlformats.org/officeDocument/2006/relationships/hyperlink" Target="http://www.muggaccinos.com/Rides_Stuff/FranceCycleTour/Mont/3rdBC-.Sault/MtVentoux/Malaucene_side/Malaucene_to_Mont_Ventoux.htm" TargetMode="External"/><Relationship Id="rId15" Type="http://schemas.openxmlformats.org/officeDocument/2006/relationships/hyperlink" Target="http://www.muggaccinos.com/Rides_Stuff/FranceCycleTour/Mont/1stBC-Jean_de_Maurienne/1stBC-Jean_de_Maurienne.htm" TargetMode="External"/><Relationship Id="rId10" Type="http://schemas.openxmlformats.org/officeDocument/2006/relationships/hyperlink" Target="http://www.muggaccinos.com/Rides_Stuff/FranceCycleTour/Mont/1stBC-Jean_de_Maurienne/Col%20du%20Mollard/col_du_mollard.ht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www.muggaccinos.com/Rides_Stuff/FranceCycleTour/Mont/3rdBC-.Sault/MtVentoux/Sault_side/Sault_to_Mont_Ventoux.htm" TargetMode="External"/><Relationship Id="rId9" Type="http://schemas.openxmlformats.org/officeDocument/2006/relationships/hyperlink" Target="http://www.muggaccinos.com/Rides_Stuff/FranceCycleTour/Mont/2ndBC-LeBourg_d'Oisan/Alpe_d'Heuz/Bourg_d'Oisans_side/Bourg_d'OisanstoAlpe_d'Huez.htm" TargetMode="External"/><Relationship Id="rId14" Type="http://schemas.openxmlformats.org/officeDocument/2006/relationships/hyperlink" Target="http://www.muggaccinos.com/Rides_Stuff/FranceCycleTour/Mont/1stBC-Jean_de_Maurienne/Les%20Karelis/les_karellis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rorailways.com/products/trains_tickets/avipar.htm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muggaccinos.com/Rides_Stuff/FranceCycleTour/VanHire/Nova-Grenoble-Avignon_4th-19th-Euro.gif" TargetMode="External"/><Relationship Id="rId1" Type="http://schemas.openxmlformats.org/officeDocument/2006/relationships/hyperlink" Target="http://www.eurorailways.com/products/trains_tickets/avipar.htm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muggaccinos.com/Rides_Stuff/FranceCycleTour/VanHire/Nova-Grenoble-Avignon_4th-19th-Euro.gi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omsonbiketours.com/profiles/profile.php?profile=revard.gif" TargetMode="External"/><Relationship Id="rId3" Type="http://schemas.openxmlformats.org/officeDocument/2006/relationships/hyperlink" Target="http://www.thomsonbiketours.com/profiles/profile.php?profile=croixdeferb1.gif" TargetMode="External"/><Relationship Id="rId7" Type="http://schemas.openxmlformats.org/officeDocument/2006/relationships/hyperlink" Target="http://www.thomsonbiketours.com/profiles/profile.php?profile=toussi1.gif" TargetMode="External"/><Relationship Id="rId2" Type="http://schemas.openxmlformats.org/officeDocument/2006/relationships/hyperlink" Target="http://www.thomsonbiketours.com/profiles/profile.php?profile=glandonl1.gif" TargetMode="External"/><Relationship Id="rId1" Type="http://schemas.openxmlformats.org/officeDocument/2006/relationships/hyperlink" Target="http://www.thomsonbiketours.com/profiles/profile.php?profile=galibc.gif" TargetMode="External"/><Relationship Id="rId6" Type="http://schemas.openxmlformats.org/officeDocument/2006/relationships/hyperlink" Target="http://www.thomsonbiketours.com/profiles/profile.php?profile=huezb.gif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thomsonbiketours.com/profiles/profile.php?profile=grand_colombier.gif" TargetMode="External"/><Relationship Id="rId10" Type="http://schemas.openxmlformats.org/officeDocument/2006/relationships/hyperlink" Target="http://www.thomsonbiketours.com/profiles/profile.php?profile=cucheron.gif" TargetMode="External"/><Relationship Id="rId4" Type="http://schemas.openxmlformats.org/officeDocument/2006/relationships/hyperlink" Target="http://www.thomsonbiketours.com/profiles/profile.php?profile=sarenne.gif" TargetMode="External"/><Relationship Id="rId9" Type="http://schemas.openxmlformats.org/officeDocument/2006/relationships/hyperlink" Target="http://www.thomsonbiketours.com/profiles/profile.php?profile=mollard1.gi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2" sqref="G2"/>
    </sheetView>
  </sheetViews>
  <sheetFormatPr defaultRowHeight="12.75" x14ac:dyDescent="0.2"/>
  <cols>
    <col min="1" max="1" width="14.5703125" customWidth="1"/>
    <col min="2" max="2" width="23.5703125" customWidth="1"/>
    <col min="3" max="3" width="5.28515625" customWidth="1"/>
  </cols>
  <sheetData>
    <row r="1" spans="1:6" ht="14.25" x14ac:dyDescent="0.2">
      <c r="B1" s="3"/>
      <c r="C1" s="3"/>
      <c r="D1" s="3"/>
      <c r="E1" s="3"/>
      <c r="F1" s="3"/>
    </row>
    <row r="2" spans="1:6" ht="15" x14ac:dyDescent="0.25">
      <c r="B2" s="10" t="s">
        <v>164</v>
      </c>
      <c r="C2" s="3"/>
      <c r="D2" s="3"/>
      <c r="E2" s="3"/>
      <c r="F2" s="3"/>
    </row>
    <row r="3" spans="1:6" ht="14.25" x14ac:dyDescent="0.2">
      <c r="B3" s="3"/>
      <c r="C3" s="3"/>
      <c r="D3" s="25" t="s">
        <v>3</v>
      </c>
      <c r="E3" s="3"/>
      <c r="F3" s="3"/>
    </row>
    <row r="4" spans="1:6" ht="14.25" x14ac:dyDescent="0.2">
      <c r="B4" s="3" t="s">
        <v>186</v>
      </c>
      <c r="C4" s="3" t="s">
        <v>4</v>
      </c>
      <c r="D4" s="3">
        <v>38000</v>
      </c>
      <c r="E4" s="3"/>
      <c r="F4" s="3"/>
    </row>
    <row r="5" spans="1:6" ht="14.25" x14ac:dyDescent="0.2">
      <c r="B5" s="3"/>
      <c r="C5" s="3"/>
      <c r="D5" s="3"/>
      <c r="E5" s="3"/>
      <c r="F5" s="3"/>
    </row>
    <row r="6" spans="1:6" ht="14.25" x14ac:dyDescent="0.2">
      <c r="A6" t="s">
        <v>160</v>
      </c>
      <c r="B6" s="3" t="s">
        <v>1</v>
      </c>
      <c r="C6" s="3">
        <v>74</v>
      </c>
      <c r="D6" s="3">
        <v>73300</v>
      </c>
      <c r="E6" s="3"/>
      <c r="F6" s="3"/>
    </row>
    <row r="7" spans="1:6" ht="14.25" x14ac:dyDescent="0.2">
      <c r="B7" s="3"/>
      <c r="C7" s="3"/>
      <c r="D7" s="3"/>
      <c r="E7" s="3"/>
      <c r="F7" s="3"/>
    </row>
    <row r="8" spans="1:6" ht="14.25" x14ac:dyDescent="0.2">
      <c r="A8" t="s">
        <v>161</v>
      </c>
      <c r="B8" s="3" t="s">
        <v>2</v>
      </c>
      <c r="C8" s="3">
        <v>68</v>
      </c>
      <c r="D8" s="3">
        <f>D21</f>
        <v>38520</v>
      </c>
      <c r="E8" s="3"/>
      <c r="F8" s="3"/>
    </row>
    <row r="9" spans="1:6" ht="14.25" x14ac:dyDescent="0.2">
      <c r="B9" s="3"/>
      <c r="C9" s="3"/>
      <c r="D9" s="3"/>
      <c r="E9" s="3"/>
      <c r="F9" s="3"/>
    </row>
    <row r="10" spans="1:6" ht="14.25" x14ac:dyDescent="0.2">
      <c r="A10" t="s">
        <v>162</v>
      </c>
      <c r="B10" s="3" t="s">
        <v>5</v>
      </c>
      <c r="C10" s="3">
        <v>218</v>
      </c>
      <c r="D10" s="3">
        <v>84390</v>
      </c>
      <c r="E10" s="3"/>
      <c r="F10" s="3"/>
    </row>
    <row r="11" spans="1:6" ht="14.25" x14ac:dyDescent="0.2">
      <c r="B11" s="3"/>
      <c r="C11" s="3"/>
      <c r="D11" s="3"/>
      <c r="E11" s="3"/>
      <c r="F11" s="3"/>
    </row>
    <row r="12" spans="1:6" ht="14.25" x14ac:dyDescent="0.2">
      <c r="B12" s="3" t="s">
        <v>163</v>
      </c>
      <c r="C12" s="26">
        <v>72</v>
      </c>
      <c r="D12" s="3">
        <v>84000</v>
      </c>
      <c r="E12" s="3"/>
      <c r="F12" s="3"/>
    </row>
    <row r="13" spans="1:6" ht="14.25" x14ac:dyDescent="0.2">
      <c r="B13" s="3"/>
      <c r="C13" s="3"/>
      <c r="D13" s="3"/>
      <c r="E13" s="3"/>
      <c r="F13" s="3"/>
    </row>
    <row r="14" spans="1:6" ht="14.25" x14ac:dyDescent="0.2">
      <c r="B14" s="3" t="s">
        <v>6</v>
      </c>
      <c r="C14" s="3">
        <f>C6+C8+C10+C12</f>
        <v>432</v>
      </c>
      <c r="D14" s="3"/>
      <c r="E14" s="3"/>
      <c r="F14" s="3"/>
    </row>
    <row r="15" spans="1:6" ht="14.25" x14ac:dyDescent="0.2">
      <c r="B15" s="3"/>
      <c r="C15" s="3"/>
      <c r="D15" s="3"/>
      <c r="E15" s="3"/>
      <c r="F15" s="3"/>
    </row>
    <row r="16" spans="1:6" ht="14.25" x14ac:dyDescent="0.2">
      <c r="B16" s="3"/>
      <c r="C16" s="3"/>
      <c r="D16" s="3"/>
      <c r="E16" s="3"/>
      <c r="F16" s="3"/>
    </row>
    <row r="17" spans="2:9" ht="14.25" x14ac:dyDescent="0.2">
      <c r="B17" s="3"/>
      <c r="C17" s="3"/>
      <c r="D17" s="3"/>
      <c r="E17" s="3"/>
      <c r="F17" s="3"/>
    </row>
    <row r="18" spans="2:9" ht="15" x14ac:dyDescent="0.25">
      <c r="B18" s="190" t="s">
        <v>165</v>
      </c>
      <c r="C18" s="191"/>
      <c r="D18" s="191"/>
      <c r="E18" s="191"/>
      <c r="F18" s="191"/>
      <c r="G18" s="192"/>
      <c r="H18" s="192"/>
      <c r="I18" s="192"/>
    </row>
    <row r="19" spans="2:9" ht="14.25" x14ac:dyDescent="0.2">
      <c r="B19" s="193" t="str">
        <f>B4</f>
        <v>Chambery station</v>
      </c>
      <c r="C19" s="193" t="str">
        <f>C4</f>
        <v>km</v>
      </c>
      <c r="D19" s="194" t="str">
        <f>D3</f>
        <v>Region</v>
      </c>
      <c r="E19" s="191"/>
      <c r="F19" s="191"/>
      <c r="G19" s="192"/>
      <c r="H19" s="192"/>
      <c r="I19" s="192"/>
    </row>
    <row r="20" spans="2:9" ht="14.25" x14ac:dyDescent="0.2">
      <c r="B20" s="193"/>
      <c r="C20" s="193"/>
      <c r="D20" s="193"/>
      <c r="E20" s="191"/>
      <c r="F20" s="191"/>
      <c r="G20" s="192"/>
      <c r="H20" s="192"/>
      <c r="I20" s="192"/>
    </row>
    <row r="21" spans="2:9" ht="14.25" x14ac:dyDescent="0.2">
      <c r="B21" s="193" t="str">
        <f>B8</f>
        <v>Bourg d'Oisan</v>
      </c>
      <c r="C21" s="193">
        <v>52</v>
      </c>
      <c r="D21" s="193">
        <v>38520</v>
      </c>
      <c r="E21" s="191"/>
      <c r="F21" s="191"/>
      <c r="G21" s="192"/>
      <c r="H21" s="192"/>
      <c r="I21" s="192"/>
    </row>
    <row r="22" spans="2:9" ht="14.25" x14ac:dyDescent="0.2">
      <c r="B22" s="193"/>
      <c r="C22" s="193"/>
      <c r="D22" s="193"/>
      <c r="E22" s="191"/>
      <c r="F22" s="191"/>
      <c r="G22" s="192"/>
      <c r="H22" s="192"/>
      <c r="I22" s="192"/>
    </row>
    <row r="23" spans="2:9" ht="14.25" x14ac:dyDescent="0.2">
      <c r="B23" s="193" t="str">
        <f>B6</f>
        <v>Saint Jean de Maurienne</v>
      </c>
      <c r="C23" s="193">
        <v>68</v>
      </c>
      <c r="D23" s="193">
        <f>D6</f>
        <v>73300</v>
      </c>
      <c r="E23" s="191"/>
      <c r="F23" s="191"/>
      <c r="G23" s="192"/>
      <c r="H23" s="192"/>
      <c r="I23" s="192"/>
    </row>
    <row r="24" spans="2:9" ht="14.25" x14ac:dyDescent="0.2">
      <c r="B24" s="193"/>
      <c r="C24" s="193"/>
      <c r="D24" s="193"/>
      <c r="E24" s="191"/>
      <c r="F24" s="191"/>
      <c r="G24" s="192"/>
      <c r="H24" s="192"/>
      <c r="I24" s="192"/>
    </row>
    <row r="25" spans="2:9" ht="14.25" x14ac:dyDescent="0.2">
      <c r="B25" s="193" t="str">
        <f>B10</f>
        <v>Sault, Vaucluse</v>
      </c>
      <c r="C25" s="195">
        <v>290</v>
      </c>
      <c r="D25" s="193">
        <f>D10</f>
        <v>84390</v>
      </c>
      <c r="E25" s="191"/>
      <c r="F25" s="191"/>
      <c r="G25" s="192"/>
      <c r="H25" s="192"/>
      <c r="I25" s="192"/>
    </row>
    <row r="26" spans="2:9" ht="14.25" x14ac:dyDescent="0.2">
      <c r="B26" s="193"/>
      <c r="C26" s="193"/>
      <c r="D26" s="193"/>
      <c r="E26" s="191"/>
      <c r="F26" s="191"/>
      <c r="G26" s="192"/>
      <c r="H26" s="192"/>
      <c r="I26" s="192"/>
    </row>
    <row r="27" spans="2:9" ht="14.25" x14ac:dyDescent="0.2">
      <c r="B27" s="193" t="s">
        <v>6</v>
      </c>
      <c r="C27" s="193">
        <f>C21+C23+C25</f>
        <v>410</v>
      </c>
      <c r="D27" s="193"/>
      <c r="E27" s="191"/>
      <c r="F27" s="191"/>
      <c r="G27" s="192"/>
      <c r="H27" s="192"/>
      <c r="I27" s="192"/>
    </row>
    <row r="28" spans="2:9" ht="14.25" x14ac:dyDescent="0.2">
      <c r="B28" s="3"/>
      <c r="C28" s="3"/>
      <c r="D28" s="3"/>
      <c r="E28" s="3"/>
      <c r="F28" s="3"/>
    </row>
    <row r="29" spans="2:9" ht="14.25" x14ac:dyDescent="0.2">
      <c r="B29" s="3"/>
      <c r="C29" s="3"/>
      <c r="D29" s="3"/>
      <c r="E29" s="3"/>
      <c r="F29" s="3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1" sqref="A11"/>
    </sheetView>
  </sheetViews>
  <sheetFormatPr defaultRowHeight="12.75" x14ac:dyDescent="0.2"/>
  <sheetData>
    <row r="1" spans="1:9" x14ac:dyDescent="0.2">
      <c r="A1" s="199">
        <v>686.5</v>
      </c>
      <c r="B1">
        <f>(D1*3)+D2</f>
        <v>55</v>
      </c>
      <c r="C1" s="199">
        <f>A1/B1</f>
        <v>12.481818181818182</v>
      </c>
      <c r="D1">
        <v>15</v>
      </c>
      <c r="E1" s="200">
        <f>G1/A1</f>
        <v>0.22694214876033061</v>
      </c>
      <c r="F1" s="201">
        <f>E1*H1</f>
        <v>0.68082644628099187</v>
      </c>
      <c r="G1" s="202">
        <f>C1*C1</f>
        <v>155.79578512396697</v>
      </c>
      <c r="H1" s="201">
        <v>3</v>
      </c>
      <c r="I1" s="202">
        <f>G1*H1</f>
        <v>467.38735537190087</v>
      </c>
    </row>
    <row r="2" spans="1:9" ht="17.25" x14ac:dyDescent="0.4">
      <c r="A2" s="214">
        <f>D10</f>
        <v>97.43</v>
      </c>
      <c r="D2">
        <v>10</v>
      </c>
      <c r="E2" s="200">
        <f>G2/A1</f>
        <v>0.18181818181818182</v>
      </c>
      <c r="F2" s="201">
        <f>E2*H2</f>
        <v>0.18181818181818182</v>
      </c>
      <c r="G2" s="202">
        <f>C1*D2</f>
        <v>124.81818181818183</v>
      </c>
      <c r="H2" s="201">
        <v>1</v>
      </c>
      <c r="I2" s="203">
        <f>G2*H2</f>
        <v>124.81818181818183</v>
      </c>
    </row>
    <row r="3" spans="1:9" x14ac:dyDescent="0.2">
      <c r="A3" s="208">
        <f>A1+A2</f>
        <v>783.93000000000006</v>
      </c>
      <c r="E3" s="201"/>
      <c r="F3" s="204">
        <f>SUM(F1:F2)</f>
        <v>0.86264462809917375</v>
      </c>
      <c r="G3" s="201" t="s">
        <v>228</v>
      </c>
      <c r="H3" s="201"/>
      <c r="I3" s="205">
        <f>I1+I2</f>
        <v>592.20553719008274</v>
      </c>
    </row>
    <row r="5" spans="1:9" ht="15" x14ac:dyDescent="0.25">
      <c r="A5" s="88"/>
      <c r="B5" s="206" t="s">
        <v>229</v>
      </c>
      <c r="C5" s="207" t="s">
        <v>230</v>
      </c>
      <c r="D5" s="88"/>
      <c r="E5" s="88"/>
      <c r="F5" s="88"/>
    </row>
    <row r="6" spans="1:9" x14ac:dyDescent="0.2">
      <c r="A6" s="88" t="s">
        <v>231</v>
      </c>
      <c r="B6" s="208">
        <f>A1/B1</f>
        <v>12.481818181818182</v>
      </c>
      <c r="C6" s="209" t="s">
        <v>232</v>
      </c>
      <c r="D6" s="210">
        <f>(A3*D1)/B1</f>
        <v>213.79909090909092</v>
      </c>
      <c r="E6" s="88">
        <f>H1</f>
        <v>3</v>
      </c>
      <c r="F6" s="210">
        <f>D6*E6</f>
        <v>641.39727272727282</v>
      </c>
    </row>
    <row r="7" spans="1:9" ht="17.25" x14ac:dyDescent="0.4">
      <c r="A7" s="88" t="s">
        <v>233</v>
      </c>
      <c r="B7" s="208">
        <f>B6</f>
        <v>12.481818181818182</v>
      </c>
      <c r="C7" s="209" t="s">
        <v>234</v>
      </c>
      <c r="D7" s="210">
        <f>(A3*D2)/B1</f>
        <v>142.5327272727273</v>
      </c>
      <c r="E7" s="88">
        <f>H2</f>
        <v>1</v>
      </c>
      <c r="F7" s="211">
        <f>D7*E7</f>
        <v>142.5327272727273</v>
      </c>
    </row>
    <row r="8" spans="1:9" x14ac:dyDescent="0.2">
      <c r="A8" s="88"/>
      <c r="B8" s="88"/>
      <c r="C8" s="88"/>
      <c r="D8" s="88"/>
      <c r="E8" s="88"/>
      <c r="F8" s="210">
        <f>SUM(F6:F7)</f>
        <v>783.93000000000006</v>
      </c>
    </row>
    <row r="10" spans="1:9" x14ac:dyDescent="0.2">
      <c r="A10" t="s">
        <v>280</v>
      </c>
      <c r="D10" s="199">
        <v>97.43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workbookViewId="0">
      <selection activeCell="H9" sqref="H9"/>
    </sheetView>
  </sheetViews>
  <sheetFormatPr defaultRowHeight="12.75" x14ac:dyDescent="0.2"/>
  <cols>
    <col min="2" max="2" width="14.42578125" customWidth="1"/>
    <col min="5" max="5" width="18" customWidth="1"/>
    <col min="6" max="6" width="10.7109375" customWidth="1"/>
  </cols>
  <sheetData>
    <row r="2" spans="2:8" ht="18" x14ac:dyDescent="0.25">
      <c r="B2" s="235" t="s">
        <v>286</v>
      </c>
    </row>
    <row r="4" spans="2:8" x14ac:dyDescent="0.2">
      <c r="B4" s="234" t="s">
        <v>8</v>
      </c>
      <c r="C4" s="221" t="s">
        <v>284</v>
      </c>
      <c r="G4" s="82" t="s">
        <v>270</v>
      </c>
    </row>
    <row r="5" spans="2:8" x14ac:dyDescent="0.2">
      <c r="B5" s="173">
        <v>41155</v>
      </c>
      <c r="C5" t="s">
        <v>289</v>
      </c>
      <c r="F5" t="s">
        <v>290</v>
      </c>
      <c r="G5" s="216">
        <v>147.49</v>
      </c>
      <c r="H5" t="s">
        <v>291</v>
      </c>
    </row>
    <row r="6" spans="2:8" x14ac:dyDescent="0.2">
      <c r="B6" s="173">
        <v>41162</v>
      </c>
      <c r="C6" t="s">
        <v>268</v>
      </c>
      <c r="F6" t="s">
        <v>287</v>
      </c>
      <c r="G6" s="216">
        <v>177.5</v>
      </c>
      <c r="H6" t="s">
        <v>292</v>
      </c>
    </row>
    <row r="7" spans="2:8" x14ac:dyDescent="0.2">
      <c r="B7" s="173">
        <f>B6</f>
        <v>41162</v>
      </c>
      <c r="C7" t="s">
        <v>269</v>
      </c>
      <c r="F7" t="s">
        <v>288</v>
      </c>
      <c r="G7" s="216">
        <v>104</v>
      </c>
      <c r="H7" t="s">
        <v>292</v>
      </c>
    </row>
    <row r="8" spans="2:8" x14ac:dyDescent="0.2">
      <c r="B8" t="s">
        <v>285</v>
      </c>
      <c r="C8" t="s">
        <v>283</v>
      </c>
      <c r="G8" s="220">
        <f>7*16</f>
        <v>112</v>
      </c>
      <c r="H8" t="s">
        <v>293</v>
      </c>
    </row>
    <row r="9" spans="2:8" x14ac:dyDescent="0.2">
      <c r="G9" s="216">
        <f>SUM(G5:G8)</f>
        <v>540.99</v>
      </c>
    </row>
    <row r="10" spans="2:8" x14ac:dyDescent="0.2">
      <c r="G10" s="21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opLeftCell="A3" workbookViewId="0">
      <selection activeCell="B9" sqref="B9"/>
    </sheetView>
  </sheetViews>
  <sheetFormatPr defaultRowHeight="12.75" x14ac:dyDescent="0.2"/>
  <cols>
    <col min="1" max="1" width="8.28515625" customWidth="1"/>
    <col min="2" max="2" width="20.28515625" customWidth="1"/>
    <col min="3" max="3" width="7.140625" customWidth="1"/>
    <col min="4" max="4" width="39.28515625" customWidth="1"/>
    <col min="5" max="5" width="43.85546875" customWidth="1"/>
    <col min="6" max="6" width="4.7109375" customWidth="1"/>
    <col min="7" max="7" width="12.28515625" customWidth="1"/>
    <col min="8" max="8" width="15" customWidth="1"/>
    <col min="10" max="10" width="6.42578125" style="69" customWidth="1"/>
    <col min="11" max="11" width="7.42578125" style="69" customWidth="1"/>
    <col min="12" max="12" width="19.42578125" customWidth="1"/>
  </cols>
  <sheetData>
    <row r="1" spans="1:13" ht="15.75" thickBot="1" x14ac:dyDescent="0.3">
      <c r="A1" s="10" t="s">
        <v>96</v>
      </c>
    </row>
    <row r="2" spans="1:13" ht="33.75" customHeight="1" thickBot="1" x14ac:dyDescent="0.25">
      <c r="A2" s="110"/>
      <c r="B2" s="111" t="s">
        <v>97</v>
      </c>
      <c r="C2" s="111" t="s">
        <v>98</v>
      </c>
      <c r="D2" s="111" t="s">
        <v>99</v>
      </c>
      <c r="E2" s="111"/>
      <c r="F2" s="111"/>
      <c r="G2" s="111" t="s">
        <v>7</v>
      </c>
      <c r="H2" s="111" t="s">
        <v>8</v>
      </c>
      <c r="I2" s="112" t="s">
        <v>100</v>
      </c>
      <c r="J2" s="113" t="s">
        <v>101</v>
      </c>
      <c r="K2" s="114"/>
    </row>
    <row r="3" spans="1:13" ht="15" customHeight="1" x14ac:dyDescent="0.2">
      <c r="A3" s="153" t="s">
        <v>102</v>
      </c>
      <c r="B3" s="153" t="s">
        <v>103</v>
      </c>
      <c r="C3" s="153">
        <v>11</v>
      </c>
      <c r="D3" s="153" t="s">
        <v>104</v>
      </c>
      <c r="E3" s="117" t="s">
        <v>105</v>
      </c>
      <c r="F3" s="153"/>
      <c r="G3" s="153" t="str">
        <f t="shared" ref="G3:G4" si="0">TEXT(H3,"dddd")</f>
        <v>Thursday</v>
      </c>
      <c r="H3" s="154">
        <v>41123</v>
      </c>
      <c r="I3" s="155">
        <v>0.55208333333333337</v>
      </c>
    </row>
    <row r="4" spans="1:13" ht="15" customHeight="1" x14ac:dyDescent="0.2">
      <c r="A4" s="117" t="s">
        <v>106</v>
      </c>
      <c r="B4" s="117" t="s">
        <v>103</v>
      </c>
      <c r="C4" s="117">
        <f>C3</f>
        <v>11</v>
      </c>
      <c r="D4" s="117" t="s">
        <v>107</v>
      </c>
      <c r="E4" s="117" t="s">
        <v>105</v>
      </c>
      <c r="F4" s="117"/>
      <c r="G4" s="117" t="str">
        <f t="shared" si="0"/>
        <v>Thursday</v>
      </c>
      <c r="H4" s="118">
        <f>H3</f>
        <v>41123</v>
      </c>
      <c r="I4" s="119">
        <v>0.40625</v>
      </c>
    </row>
    <row r="5" spans="1:13" ht="15" customHeight="1" x14ac:dyDescent="0.2">
      <c r="A5" s="117" t="s">
        <v>102</v>
      </c>
      <c r="B5" s="117" t="s">
        <v>108</v>
      </c>
      <c r="C5" s="117">
        <v>891</v>
      </c>
      <c r="D5" s="117" t="str">
        <f>D4</f>
        <v>LAX</v>
      </c>
      <c r="E5" s="117" t="s">
        <v>105</v>
      </c>
      <c r="F5" s="117"/>
      <c r="G5" s="117" t="str">
        <f>TEXT(H5,"dddd")</f>
        <v>Thursday</v>
      </c>
      <c r="H5" s="118">
        <f>H4</f>
        <v>41123</v>
      </c>
      <c r="I5" s="119">
        <v>0.50347222222222221</v>
      </c>
      <c r="K5" s="69" t="s">
        <v>206</v>
      </c>
    </row>
    <row r="6" spans="1:13" ht="15" customHeight="1" x14ac:dyDescent="0.2">
      <c r="A6" s="117" t="s">
        <v>106</v>
      </c>
      <c r="B6" s="117" t="s">
        <v>108</v>
      </c>
      <c r="C6" s="117">
        <v>2947</v>
      </c>
      <c r="D6" s="117" t="s">
        <v>109</v>
      </c>
      <c r="E6" s="117" t="s">
        <v>105</v>
      </c>
      <c r="F6" s="117"/>
      <c r="G6" s="117" t="str">
        <f t="shared" ref="G6:G44" si="1">TEXT(H6,"dddd")</f>
        <v>Thursday</v>
      </c>
      <c r="H6" s="118">
        <f>H5</f>
        <v>41123</v>
      </c>
      <c r="I6" s="119">
        <v>0.55555555555555558</v>
      </c>
    </row>
    <row r="7" spans="1:13" ht="15" customHeight="1" x14ac:dyDescent="0.2">
      <c r="A7" s="121" t="s">
        <v>102</v>
      </c>
      <c r="B7" s="121" t="s">
        <v>108</v>
      </c>
      <c r="C7" s="121">
        <v>1361</v>
      </c>
      <c r="D7" s="121" t="str">
        <f>D6</f>
        <v>Reno-Tahoe</v>
      </c>
      <c r="E7" s="121" t="s">
        <v>110</v>
      </c>
      <c r="F7" s="121">
        <f>H7-H6</f>
        <v>13</v>
      </c>
      <c r="G7" s="121" t="str">
        <f t="shared" si="1"/>
        <v>Wednesday</v>
      </c>
      <c r="H7" s="122">
        <v>41136</v>
      </c>
      <c r="I7" s="123">
        <v>0.47569444444444442</v>
      </c>
      <c r="K7" s="69" t="s">
        <v>111</v>
      </c>
    </row>
    <row r="8" spans="1:13" ht="15" customHeight="1" x14ac:dyDescent="0.2">
      <c r="A8" s="121" t="s">
        <v>106</v>
      </c>
      <c r="B8" s="121" t="s">
        <v>108</v>
      </c>
      <c r="C8" s="121">
        <f>C7</f>
        <v>1361</v>
      </c>
      <c r="D8" s="121" t="s">
        <v>112</v>
      </c>
      <c r="E8" s="121" t="s">
        <v>110</v>
      </c>
      <c r="F8" s="121"/>
      <c r="G8" s="121" t="str">
        <f t="shared" si="1"/>
        <v>Wednesday</v>
      </c>
      <c r="H8" s="122">
        <f>H7</f>
        <v>41136</v>
      </c>
      <c r="I8" s="123">
        <v>4.8611111111111112E-2</v>
      </c>
      <c r="L8" s="50" t="s">
        <v>113</v>
      </c>
    </row>
    <row r="9" spans="1:13" ht="26.25" customHeight="1" x14ac:dyDescent="0.2">
      <c r="A9" s="121" t="str">
        <f>A7</f>
        <v>Depart</v>
      </c>
      <c r="B9" s="196" t="s">
        <v>114</v>
      </c>
      <c r="C9" s="121">
        <v>8906</v>
      </c>
      <c r="D9" s="124" t="s">
        <v>115</v>
      </c>
      <c r="E9" s="121" t="s">
        <v>110</v>
      </c>
      <c r="F9" s="121"/>
      <c r="G9" s="121" t="str">
        <f t="shared" si="1"/>
        <v>Wednesday</v>
      </c>
      <c r="H9" s="122">
        <f>H8</f>
        <v>41136</v>
      </c>
      <c r="I9" s="123">
        <v>0.69791666666666663</v>
      </c>
      <c r="K9" s="125" t="s">
        <v>116</v>
      </c>
      <c r="L9" s="126" t="s">
        <v>117</v>
      </c>
    </row>
    <row r="10" spans="1:13" ht="15" customHeight="1" x14ac:dyDescent="0.2">
      <c r="A10" s="121" t="str">
        <f>A8</f>
        <v>Arrive</v>
      </c>
      <c r="B10" s="121" t="s">
        <v>114</v>
      </c>
      <c r="C10" s="121">
        <v>8906</v>
      </c>
      <c r="D10" s="121" t="s">
        <v>118</v>
      </c>
      <c r="E10" s="121" t="s">
        <v>110</v>
      </c>
      <c r="F10" s="121"/>
      <c r="G10" s="121" t="str">
        <f t="shared" si="1"/>
        <v>Wednesday</v>
      </c>
      <c r="H10" s="122">
        <f>H9</f>
        <v>41136</v>
      </c>
      <c r="I10" s="123">
        <v>0.83333333333333337</v>
      </c>
    </row>
    <row r="11" spans="1:13" ht="15" customHeight="1" x14ac:dyDescent="0.2">
      <c r="A11" s="121" t="s">
        <v>102</v>
      </c>
      <c r="B11" s="121" t="s">
        <v>119</v>
      </c>
      <c r="C11" s="121" t="s">
        <v>120</v>
      </c>
      <c r="D11" s="121" t="s">
        <v>121</v>
      </c>
      <c r="E11" s="121" t="s">
        <v>122</v>
      </c>
      <c r="F11" s="127">
        <f>H11-H10</f>
        <v>3</v>
      </c>
      <c r="G11" s="121" t="str">
        <f t="shared" si="1"/>
        <v>Saturday</v>
      </c>
      <c r="H11" s="122">
        <f>H10+3</f>
        <v>41139</v>
      </c>
      <c r="I11" s="123">
        <v>0.29166666666666669</v>
      </c>
      <c r="K11" s="69" t="s">
        <v>123</v>
      </c>
    </row>
    <row r="12" spans="1:13" ht="15" customHeight="1" x14ac:dyDescent="0.2">
      <c r="A12" s="121" t="s">
        <v>106</v>
      </c>
      <c r="B12" s="121" t="s">
        <v>119</v>
      </c>
      <c r="C12" s="121" t="str">
        <f>C11</f>
        <v>WS538</v>
      </c>
      <c r="D12" s="121" t="s">
        <v>124</v>
      </c>
      <c r="E12" s="121" t="s">
        <v>122</v>
      </c>
      <c r="F12" s="127"/>
      <c r="G12" s="121" t="str">
        <f t="shared" si="1"/>
        <v>Saturday</v>
      </c>
      <c r="H12" s="122">
        <f>H11</f>
        <v>41139</v>
      </c>
      <c r="I12" s="123">
        <v>0.38819444444444445</v>
      </c>
    </row>
    <row r="13" spans="1:13" ht="15" customHeight="1" x14ac:dyDescent="0.2">
      <c r="A13" s="121" t="s">
        <v>102</v>
      </c>
      <c r="B13" s="121" t="s">
        <v>125</v>
      </c>
      <c r="C13" s="121"/>
      <c r="D13" s="121" t="str">
        <f>D12</f>
        <v xml:space="preserve"> Calgary YYC airport</v>
      </c>
      <c r="E13" s="121" t="s">
        <v>122</v>
      </c>
      <c r="F13" s="127"/>
      <c r="G13" s="121" t="str">
        <f t="shared" si="1"/>
        <v>Saturday</v>
      </c>
      <c r="H13" s="122">
        <f>H12</f>
        <v>41139</v>
      </c>
      <c r="I13" s="123">
        <v>0.4375</v>
      </c>
    </row>
    <row r="14" spans="1:13" ht="15" customHeight="1" x14ac:dyDescent="0.2">
      <c r="A14" s="121" t="s">
        <v>106</v>
      </c>
      <c r="B14" s="121" t="s">
        <v>125</v>
      </c>
      <c r="C14" s="121"/>
      <c r="D14" s="121" t="s">
        <v>126</v>
      </c>
      <c r="E14" s="121" t="s">
        <v>122</v>
      </c>
      <c r="F14" s="127"/>
      <c r="G14" s="121" t="str">
        <f t="shared" si="1"/>
        <v>Saturday</v>
      </c>
      <c r="H14" s="122">
        <v>41139</v>
      </c>
      <c r="I14" s="123">
        <v>0.52083333333333337</v>
      </c>
      <c r="L14" s="128" t="s">
        <v>127</v>
      </c>
    </row>
    <row r="15" spans="1:13" ht="15" customHeight="1" x14ac:dyDescent="0.2">
      <c r="A15" s="121" t="s">
        <v>102</v>
      </c>
      <c r="B15" s="121" t="s">
        <v>128</v>
      </c>
      <c r="C15" s="121"/>
      <c r="D15" s="121" t="s">
        <v>129</v>
      </c>
      <c r="E15" s="121" t="s">
        <v>130</v>
      </c>
      <c r="F15" s="127"/>
      <c r="G15" s="121" t="str">
        <f t="shared" si="1"/>
        <v>Sunday</v>
      </c>
      <c r="H15" s="122">
        <f>H14+1</f>
        <v>41140</v>
      </c>
      <c r="I15" s="123">
        <v>0.33333333333333331</v>
      </c>
      <c r="L15" s="135" t="s">
        <v>158</v>
      </c>
      <c r="M15" s="148" t="s">
        <v>159</v>
      </c>
    </row>
    <row r="16" spans="1:13" ht="15" customHeight="1" x14ac:dyDescent="0.2">
      <c r="A16" s="121" t="s">
        <v>106</v>
      </c>
      <c r="B16" s="121" t="str">
        <f>B15</f>
        <v>La bicyclette</v>
      </c>
      <c r="C16" s="121"/>
      <c r="D16" s="121" t="s">
        <v>131</v>
      </c>
      <c r="E16" s="121" t="s">
        <v>130</v>
      </c>
      <c r="F16" s="127">
        <f>H16-H15+1</f>
        <v>6</v>
      </c>
      <c r="G16" s="121" t="str">
        <f t="shared" si="1"/>
        <v>Friday</v>
      </c>
      <c r="H16" s="122">
        <f>H15+5</f>
        <v>41145</v>
      </c>
      <c r="I16" s="123">
        <v>0.58333333333333337</v>
      </c>
      <c r="L16" s="128"/>
    </row>
    <row r="17" spans="1:15" ht="15" customHeight="1" x14ac:dyDescent="0.25">
      <c r="A17" s="121" t="s">
        <v>102</v>
      </c>
      <c r="B17" s="121" t="str">
        <f>B14</f>
        <v>Banff Airporter bus</v>
      </c>
      <c r="C17" s="121"/>
      <c r="D17" s="121" t="str">
        <f>D16</f>
        <v>Jasper</v>
      </c>
      <c r="E17" s="121" t="s">
        <v>132</v>
      </c>
      <c r="F17" s="127"/>
      <c r="G17" s="121" t="str">
        <f t="shared" si="1"/>
        <v>Friday</v>
      </c>
      <c r="H17" s="122">
        <f>H16</f>
        <v>41145</v>
      </c>
      <c r="I17" s="123">
        <v>0.625</v>
      </c>
      <c r="L17" s="159" t="s">
        <v>187</v>
      </c>
      <c r="M17" s="160">
        <v>1750</v>
      </c>
      <c r="N17" s="92">
        <v>2</v>
      </c>
      <c r="O17" s="160">
        <f>M17*N17</f>
        <v>3500</v>
      </c>
    </row>
    <row r="18" spans="1:15" ht="15" customHeight="1" x14ac:dyDescent="0.25">
      <c r="A18" s="121" t="s">
        <v>106</v>
      </c>
      <c r="B18" s="121" t="str">
        <f>B14</f>
        <v>Banff Airporter bus</v>
      </c>
      <c r="C18" s="121"/>
      <c r="D18" s="121" t="s">
        <v>126</v>
      </c>
      <c r="E18" s="121" t="s">
        <v>132</v>
      </c>
      <c r="F18" s="127"/>
      <c r="G18" s="121" t="str">
        <f t="shared" si="1"/>
        <v>Friday</v>
      </c>
      <c r="H18" s="122">
        <f>H17</f>
        <v>41145</v>
      </c>
      <c r="I18" s="123">
        <v>0.75</v>
      </c>
      <c r="L18" s="159" t="s">
        <v>188</v>
      </c>
      <c r="M18" s="160">
        <v>150</v>
      </c>
      <c r="N18" s="92">
        <v>2</v>
      </c>
      <c r="O18" s="161">
        <f>M18*N18</f>
        <v>300</v>
      </c>
    </row>
    <row r="19" spans="1:15" ht="15" customHeight="1" x14ac:dyDescent="0.25">
      <c r="A19" s="121" t="s">
        <v>102</v>
      </c>
      <c r="B19" s="121" t="str">
        <f>B18</f>
        <v>Banff Airporter bus</v>
      </c>
      <c r="C19" s="121"/>
      <c r="D19" s="121" t="str">
        <f>D18</f>
        <v xml:space="preserve">Banff </v>
      </c>
      <c r="E19" s="121" t="s">
        <v>133</v>
      </c>
      <c r="F19" s="127">
        <f>H19-H18</f>
        <v>1</v>
      </c>
      <c r="G19" s="121" t="str">
        <f t="shared" si="1"/>
        <v>Saturday</v>
      </c>
      <c r="H19" s="122">
        <f>H18+1</f>
        <v>41146</v>
      </c>
      <c r="I19" s="123">
        <v>0.35416666666666669</v>
      </c>
      <c r="L19" s="159" t="s">
        <v>189</v>
      </c>
      <c r="M19" s="92"/>
      <c r="N19" s="92"/>
      <c r="O19" s="160">
        <f>SUM(O17:O18)</f>
        <v>3800</v>
      </c>
    </row>
    <row r="20" spans="1:15" ht="15" customHeight="1" x14ac:dyDescent="0.2">
      <c r="A20" s="121" t="s">
        <v>106</v>
      </c>
      <c r="B20" s="121" t="str">
        <f>B19</f>
        <v>Banff Airporter bus</v>
      </c>
      <c r="C20" s="121"/>
      <c r="D20" s="121" t="str">
        <f>D21</f>
        <v xml:space="preserve"> Calgary YYC airport</v>
      </c>
      <c r="E20" s="121" t="s">
        <v>133</v>
      </c>
      <c r="F20" s="127"/>
      <c r="G20" s="121" t="str">
        <f t="shared" si="1"/>
        <v>Saturday</v>
      </c>
      <c r="H20" s="122">
        <f>H19</f>
        <v>41146</v>
      </c>
      <c r="I20" s="123">
        <v>0.4375</v>
      </c>
      <c r="L20" s="92"/>
      <c r="M20" s="92"/>
      <c r="N20" s="92"/>
      <c r="O20" s="92"/>
    </row>
    <row r="21" spans="1:15" ht="15" customHeight="1" x14ac:dyDescent="0.25">
      <c r="A21" s="121" t="s">
        <v>102</v>
      </c>
      <c r="B21" s="121" t="str">
        <f>B11</f>
        <v>WestJets</v>
      </c>
      <c r="C21" s="121"/>
      <c r="D21" s="121" t="str">
        <f>D12</f>
        <v xml:space="preserve"> Calgary YYC airport</v>
      </c>
      <c r="E21" s="121" t="s">
        <v>134</v>
      </c>
      <c r="F21" s="127">
        <f>H21-H20</f>
        <v>1</v>
      </c>
      <c r="G21" s="121" t="str">
        <f t="shared" si="1"/>
        <v>Sunday</v>
      </c>
      <c r="H21" s="122">
        <f>H18+2</f>
        <v>41147</v>
      </c>
      <c r="I21" s="123">
        <v>0.375</v>
      </c>
      <c r="L21" s="159" t="s">
        <v>190</v>
      </c>
      <c r="M21" s="162">
        <v>0.05</v>
      </c>
      <c r="N21" s="92"/>
      <c r="O21" s="167">
        <f>O19*M21</f>
        <v>190</v>
      </c>
    </row>
    <row r="22" spans="1:15" ht="15" customHeight="1" x14ac:dyDescent="0.25">
      <c r="A22" s="121" t="s">
        <v>106</v>
      </c>
      <c r="B22" s="121" t="str">
        <f>B21</f>
        <v>WestJets</v>
      </c>
      <c r="C22" s="121"/>
      <c r="D22" s="121" t="str">
        <f>D11</f>
        <v>Vancouver airport</v>
      </c>
      <c r="E22" s="121" t="s">
        <v>135</v>
      </c>
      <c r="F22" s="121"/>
      <c r="G22" s="121" t="str">
        <f t="shared" si="1"/>
        <v>Sunday</v>
      </c>
      <c r="H22" s="122">
        <f>H21</f>
        <v>41147</v>
      </c>
      <c r="I22" s="123">
        <v>0.39166666666666666</v>
      </c>
      <c r="L22" s="164" t="s">
        <v>6</v>
      </c>
      <c r="M22" s="92"/>
      <c r="N22" s="92"/>
      <c r="O22" s="163">
        <f>O19+O21</f>
        <v>3990</v>
      </c>
    </row>
    <row r="23" spans="1:15" ht="15" customHeight="1" x14ac:dyDescent="0.2">
      <c r="A23" s="129" t="s">
        <v>102</v>
      </c>
      <c r="B23" s="129" t="s">
        <v>114</v>
      </c>
      <c r="C23" s="130" t="s">
        <v>136</v>
      </c>
      <c r="D23" s="129" t="str">
        <f>D10</f>
        <v>Vancouver station</v>
      </c>
      <c r="E23" s="129" t="s">
        <v>137</v>
      </c>
      <c r="F23" s="129">
        <f>H23-H7</f>
        <v>17</v>
      </c>
      <c r="G23" s="129" t="str">
        <f t="shared" si="1"/>
        <v>Saturday</v>
      </c>
      <c r="H23" s="131">
        <v>41153</v>
      </c>
      <c r="I23" s="132">
        <v>0.47916666666666669</v>
      </c>
      <c r="L23" s="128"/>
    </row>
    <row r="24" spans="1:15" ht="15" customHeight="1" x14ac:dyDescent="0.2">
      <c r="A24" s="129" t="s">
        <v>106</v>
      </c>
      <c r="B24" s="129" t="str">
        <f>B23</f>
        <v>Amtrak Cascades bus</v>
      </c>
      <c r="C24" s="130" t="str">
        <f>C23</f>
        <v>Thruway</v>
      </c>
      <c r="D24" s="129" t="s">
        <v>138</v>
      </c>
      <c r="E24" s="129" t="s">
        <v>137</v>
      </c>
      <c r="F24" s="129"/>
      <c r="G24" s="129" t="str">
        <f t="shared" si="1"/>
        <v>Saturday</v>
      </c>
      <c r="H24" s="131">
        <f>H23</f>
        <v>41153</v>
      </c>
      <c r="I24" s="132">
        <v>0.64583333333333337</v>
      </c>
      <c r="L24" s="128"/>
      <c r="M24" s="165">
        <v>0.2</v>
      </c>
      <c r="O24" s="158">
        <f>M24*O22</f>
        <v>798</v>
      </c>
    </row>
    <row r="25" spans="1:15" ht="15" customHeight="1" x14ac:dyDescent="0.2">
      <c r="A25" s="129"/>
      <c r="B25" s="186" t="s">
        <v>218</v>
      </c>
      <c r="C25" s="187"/>
      <c r="D25" s="186" t="s">
        <v>217</v>
      </c>
      <c r="E25" s="186"/>
      <c r="F25" s="186"/>
      <c r="G25" s="186" t="str">
        <f>TEXT(H25,"dddd")</f>
        <v>Monday</v>
      </c>
      <c r="H25" s="188">
        <f>H26</f>
        <v>41155</v>
      </c>
      <c r="I25" s="189">
        <v>0.22916666666666666</v>
      </c>
      <c r="L25" s="128"/>
      <c r="M25" s="165"/>
      <c r="O25" s="158"/>
    </row>
    <row r="26" spans="1:15" ht="15" customHeight="1" x14ac:dyDescent="0.2">
      <c r="A26" s="129"/>
      <c r="B26" s="186" t="str">
        <f>B25</f>
        <v>Amtrak train</v>
      </c>
      <c r="C26" s="187"/>
      <c r="D26" s="186" t="s">
        <v>219</v>
      </c>
      <c r="E26" s="186"/>
      <c r="F26" s="186"/>
      <c r="G26" s="186" t="str">
        <f>TEXT(H26,"dddd")</f>
        <v>Monday</v>
      </c>
      <c r="H26" s="188">
        <f>H27</f>
        <v>41155</v>
      </c>
      <c r="I26" s="189">
        <v>0.46180555555555558</v>
      </c>
      <c r="L26" s="128"/>
      <c r="M26" s="165"/>
      <c r="O26" s="158"/>
    </row>
    <row r="27" spans="1:15" ht="15" customHeight="1" x14ac:dyDescent="0.2">
      <c r="A27" s="133" t="s">
        <v>102</v>
      </c>
      <c r="B27" s="129" t="s">
        <v>139</v>
      </c>
      <c r="C27" s="129">
        <v>491</v>
      </c>
      <c r="D27" s="129" t="s">
        <v>112</v>
      </c>
      <c r="E27" s="129" t="s">
        <v>140</v>
      </c>
      <c r="F27" s="156">
        <f>H27-H24</f>
        <v>2</v>
      </c>
      <c r="G27" s="129" t="str">
        <f>TEXT(H27,"dddd")</f>
        <v>Monday</v>
      </c>
      <c r="H27" s="137">
        <v>41155</v>
      </c>
      <c r="I27" s="132">
        <v>0.55208333333333337</v>
      </c>
      <c r="M27" s="165">
        <v>0.8</v>
      </c>
      <c r="O27" s="166">
        <f>M27*O22</f>
        <v>3192</v>
      </c>
    </row>
    <row r="28" spans="1:15" ht="15" customHeight="1" x14ac:dyDescent="0.2">
      <c r="A28" s="129" t="s">
        <v>106</v>
      </c>
      <c r="B28" s="129" t="s">
        <v>139</v>
      </c>
      <c r="C28" s="129">
        <v>491</v>
      </c>
      <c r="D28" s="129" t="s">
        <v>141</v>
      </c>
      <c r="E28" s="129" t="s">
        <v>140</v>
      </c>
      <c r="F28" s="136"/>
      <c r="G28" s="129" t="str">
        <f t="shared" si="1"/>
        <v>Tuesday</v>
      </c>
      <c r="H28" s="137">
        <f>H27+1</f>
        <v>41156</v>
      </c>
      <c r="I28" s="132">
        <v>0.35069444444444442</v>
      </c>
      <c r="O28" s="158">
        <f>SUM(O24:O27)</f>
        <v>3990</v>
      </c>
    </row>
    <row r="29" spans="1:15" ht="15" customHeight="1" x14ac:dyDescent="0.2">
      <c r="A29" s="138" t="s">
        <v>102</v>
      </c>
      <c r="B29" s="138" t="s">
        <v>139</v>
      </c>
      <c r="C29" s="138">
        <v>1030</v>
      </c>
      <c r="D29" s="129" t="s">
        <v>141</v>
      </c>
      <c r="E29" s="129" t="s">
        <v>140</v>
      </c>
      <c r="F29" s="138"/>
      <c r="G29" s="129" t="str">
        <f t="shared" si="1"/>
        <v>Tuesday</v>
      </c>
      <c r="H29" s="139">
        <f>H28</f>
        <v>41156</v>
      </c>
      <c r="I29" s="140">
        <v>0.39930555555555558</v>
      </c>
      <c r="J29" s="120">
        <f>I29-I28</f>
        <v>4.861111111111116E-2</v>
      </c>
      <c r="K29" s="120"/>
    </row>
    <row r="30" spans="1:15" ht="15" customHeight="1" x14ac:dyDescent="0.2">
      <c r="A30" s="129" t="s">
        <v>106</v>
      </c>
      <c r="B30" s="129" t="s">
        <v>139</v>
      </c>
      <c r="C30" s="129">
        <v>1030</v>
      </c>
      <c r="D30" s="129" t="s">
        <v>142</v>
      </c>
      <c r="E30" s="129" t="s">
        <v>140</v>
      </c>
      <c r="F30" s="129"/>
      <c r="G30" s="129" t="str">
        <f t="shared" si="1"/>
        <v>Tuesday</v>
      </c>
      <c r="H30" s="137">
        <f>H29</f>
        <v>41156</v>
      </c>
      <c r="I30" s="132">
        <v>0.44791666666666669</v>
      </c>
    </row>
    <row r="31" spans="1:15" ht="15" customHeight="1" x14ac:dyDescent="0.2">
      <c r="A31" s="138" t="s">
        <v>102</v>
      </c>
      <c r="B31" s="129" t="s">
        <v>143</v>
      </c>
      <c r="C31" s="129"/>
      <c r="D31" s="129" t="s">
        <v>144</v>
      </c>
      <c r="E31" s="129" t="s">
        <v>210</v>
      </c>
      <c r="F31" s="129"/>
      <c r="G31" s="129" t="str">
        <f t="shared" si="1"/>
        <v>Tuesday</v>
      </c>
      <c r="H31" s="137">
        <v>41156</v>
      </c>
      <c r="I31" s="132">
        <v>0.58194444444444449</v>
      </c>
    </row>
    <row r="32" spans="1:15" ht="15" customHeight="1" x14ac:dyDescent="0.2">
      <c r="A32" s="129" t="s">
        <v>106</v>
      </c>
      <c r="B32" s="129" t="s">
        <v>143</v>
      </c>
      <c r="C32" s="129"/>
      <c r="D32" s="129" t="s">
        <v>186</v>
      </c>
      <c r="E32" s="129" t="s">
        <v>210</v>
      </c>
      <c r="F32" s="129"/>
      <c r="G32" s="129" t="str">
        <f>G31</f>
        <v>Tuesday</v>
      </c>
      <c r="H32" s="137">
        <f>H31</f>
        <v>41156</v>
      </c>
      <c r="I32" s="132">
        <v>0.73125000000000007</v>
      </c>
    </row>
    <row r="33" spans="1:11" ht="15" customHeight="1" x14ac:dyDescent="0.2">
      <c r="A33" s="138" t="s">
        <v>102</v>
      </c>
      <c r="B33" s="129" t="s">
        <v>146</v>
      </c>
      <c r="C33" s="129"/>
      <c r="D33" s="129" t="s">
        <v>212</v>
      </c>
      <c r="E33" s="129" t="s">
        <v>211</v>
      </c>
      <c r="F33" s="129"/>
      <c r="G33" s="129" t="str">
        <f t="shared" si="1"/>
        <v>Wednesday</v>
      </c>
      <c r="H33" s="137">
        <f>H31+1</f>
        <v>41157</v>
      </c>
      <c r="I33" s="132">
        <v>0.33333333333333331</v>
      </c>
    </row>
    <row r="34" spans="1:11" ht="15" customHeight="1" x14ac:dyDescent="0.2">
      <c r="A34" s="138" t="s">
        <v>102</v>
      </c>
      <c r="B34" s="129" t="s">
        <v>146</v>
      </c>
      <c r="C34" s="129"/>
      <c r="D34" s="129" t="s">
        <v>213</v>
      </c>
      <c r="E34" s="129" t="s">
        <v>149</v>
      </c>
      <c r="F34" s="129"/>
      <c r="G34" s="129" t="str">
        <f t="shared" si="1"/>
        <v>Tuesday</v>
      </c>
      <c r="H34" s="137">
        <f>H33+6</f>
        <v>41163</v>
      </c>
      <c r="I34" s="132">
        <v>0.54166666666666663</v>
      </c>
    </row>
    <row r="35" spans="1:11" ht="15" customHeight="1" x14ac:dyDescent="0.2">
      <c r="A35" s="138" t="s">
        <v>102</v>
      </c>
      <c r="B35" s="129" t="s">
        <v>146</v>
      </c>
      <c r="C35" s="129"/>
      <c r="D35" s="129" t="s">
        <v>214</v>
      </c>
      <c r="E35" s="129" t="s">
        <v>150</v>
      </c>
      <c r="F35" s="129"/>
      <c r="G35" s="129" t="str">
        <f t="shared" si="1"/>
        <v>Sunday</v>
      </c>
      <c r="H35" s="137">
        <f>H34+5</f>
        <v>41168</v>
      </c>
      <c r="I35" s="132">
        <v>0.5</v>
      </c>
    </row>
    <row r="36" spans="1:11" ht="15" customHeight="1" x14ac:dyDescent="0.2">
      <c r="A36" s="138" t="s">
        <v>102</v>
      </c>
      <c r="B36" s="129" t="s">
        <v>146</v>
      </c>
      <c r="C36" s="129"/>
      <c r="D36" s="129" t="s">
        <v>215</v>
      </c>
      <c r="E36" s="129" t="s">
        <v>151</v>
      </c>
      <c r="F36" s="129"/>
      <c r="G36" s="129" t="str">
        <f t="shared" si="1"/>
        <v>Wednesday</v>
      </c>
      <c r="H36" s="137">
        <f>H35+3</f>
        <v>41171</v>
      </c>
      <c r="I36" s="132">
        <v>0.33333333333333331</v>
      </c>
    </row>
    <row r="37" spans="1:11" ht="15" customHeight="1" x14ac:dyDescent="0.2">
      <c r="A37" s="138" t="s">
        <v>102</v>
      </c>
      <c r="B37" s="129" t="str">
        <f>B38</f>
        <v>TVG train</v>
      </c>
      <c r="C37" s="141"/>
      <c r="D37" s="129" t="s">
        <v>95</v>
      </c>
      <c r="E37" s="129" t="s">
        <v>152</v>
      </c>
      <c r="F37" s="129"/>
      <c r="G37" s="129" t="str">
        <f>G38</f>
        <v>Thursday</v>
      </c>
      <c r="H37" s="137">
        <f>H38</f>
        <v>41172</v>
      </c>
      <c r="I37" s="132">
        <v>0.50972222222222219</v>
      </c>
    </row>
    <row r="38" spans="1:11" ht="15" customHeight="1" x14ac:dyDescent="0.2">
      <c r="A38" s="138" t="s">
        <v>106</v>
      </c>
      <c r="B38" s="129" t="str">
        <f>B31</f>
        <v>TVG train</v>
      </c>
      <c r="C38" s="141"/>
      <c r="D38" s="129" t="s">
        <v>223</v>
      </c>
      <c r="E38" s="129" t="s">
        <v>152</v>
      </c>
      <c r="F38" s="129"/>
      <c r="G38" s="129" t="str">
        <f t="shared" si="1"/>
        <v>Thursday</v>
      </c>
      <c r="H38" s="137">
        <f>H36+1</f>
        <v>41172</v>
      </c>
      <c r="I38" s="132">
        <v>0.62222222222222223</v>
      </c>
    </row>
    <row r="39" spans="1:11" ht="15" customHeight="1" x14ac:dyDescent="0.2">
      <c r="A39" s="142" t="s">
        <v>102</v>
      </c>
      <c r="B39" s="142" t="s">
        <v>153</v>
      </c>
      <c r="C39" s="143">
        <v>645</v>
      </c>
      <c r="D39" s="142" t="s">
        <v>142</v>
      </c>
      <c r="E39" s="142" t="s">
        <v>154</v>
      </c>
      <c r="F39" s="142"/>
      <c r="G39" s="142" t="str">
        <f t="shared" si="1"/>
        <v>Saturday</v>
      </c>
      <c r="H39" s="144">
        <v>41174</v>
      </c>
      <c r="I39" s="145">
        <v>0.84722222222222221</v>
      </c>
    </row>
    <row r="40" spans="1:11" ht="15" customHeight="1" x14ac:dyDescent="0.2">
      <c r="A40" s="142" t="s">
        <v>106</v>
      </c>
      <c r="B40" s="142" t="s">
        <v>153</v>
      </c>
      <c r="C40" s="146">
        <v>645</v>
      </c>
      <c r="D40" s="142" t="s">
        <v>155</v>
      </c>
      <c r="E40" s="142" t="s">
        <v>154</v>
      </c>
      <c r="F40" s="142"/>
      <c r="G40" s="142" t="str">
        <f t="shared" si="1"/>
        <v>Saturday</v>
      </c>
      <c r="H40" s="144">
        <v>41174</v>
      </c>
      <c r="I40" s="145">
        <v>0.89583333333333337</v>
      </c>
      <c r="J40" s="120">
        <f>I40-I39</f>
        <v>4.861111111111116E-2</v>
      </c>
      <c r="K40" s="120"/>
    </row>
    <row r="41" spans="1:11" ht="15" customHeight="1" x14ac:dyDescent="0.2">
      <c r="A41" s="142" t="s">
        <v>102</v>
      </c>
      <c r="B41" s="142" t="s">
        <v>103</v>
      </c>
      <c r="C41" s="146">
        <v>180</v>
      </c>
      <c r="D41" s="142" t="s">
        <v>155</v>
      </c>
      <c r="E41" s="142" t="s">
        <v>154</v>
      </c>
      <c r="F41" s="142"/>
      <c r="G41" s="142" t="str">
        <f t="shared" si="1"/>
        <v>Saturday</v>
      </c>
      <c r="H41" s="144">
        <v>41174</v>
      </c>
      <c r="I41" s="145">
        <v>0.94791666666666663</v>
      </c>
    </row>
    <row r="42" spans="1:11" ht="15" customHeight="1" x14ac:dyDescent="0.2">
      <c r="A42" s="142" t="s">
        <v>106</v>
      </c>
      <c r="B42" s="142" t="s">
        <v>103</v>
      </c>
      <c r="C42" s="147">
        <v>180</v>
      </c>
      <c r="D42" s="142" t="s">
        <v>156</v>
      </c>
      <c r="E42" s="142" t="s">
        <v>154</v>
      </c>
      <c r="F42" s="142"/>
      <c r="G42" s="142" t="str">
        <f t="shared" si="1"/>
        <v>Sunday</v>
      </c>
      <c r="H42" s="144">
        <v>41175</v>
      </c>
      <c r="I42" s="145">
        <v>0.61111111111111105</v>
      </c>
    </row>
    <row r="43" spans="1:11" ht="15" customHeight="1" x14ac:dyDescent="0.2">
      <c r="A43" s="142" t="s">
        <v>102</v>
      </c>
      <c r="B43" s="142" t="s">
        <v>103</v>
      </c>
      <c r="C43" s="142">
        <v>24</v>
      </c>
      <c r="D43" s="142" t="s">
        <v>156</v>
      </c>
      <c r="E43" s="142" t="s">
        <v>154</v>
      </c>
      <c r="F43" s="142"/>
      <c r="G43" s="142" t="str">
        <f t="shared" si="1"/>
        <v>Sunday</v>
      </c>
      <c r="H43" s="144">
        <v>41175</v>
      </c>
      <c r="I43" s="145">
        <v>0.95486111111111116</v>
      </c>
      <c r="J43" s="120">
        <f>I43-I42</f>
        <v>0.34375000000000011</v>
      </c>
      <c r="K43" s="120"/>
    </row>
    <row r="44" spans="1:11" ht="15" customHeight="1" x14ac:dyDescent="0.2">
      <c r="A44" s="142" t="s">
        <v>106</v>
      </c>
      <c r="B44" s="142" t="s">
        <v>103</v>
      </c>
      <c r="C44" s="142">
        <v>24</v>
      </c>
      <c r="D44" s="142" t="s">
        <v>157</v>
      </c>
      <c r="E44" s="142" t="s">
        <v>154</v>
      </c>
      <c r="F44" s="142"/>
      <c r="G44" s="142" t="str">
        <f t="shared" si="1"/>
        <v>Monday</v>
      </c>
      <c r="H44" s="144">
        <v>41176</v>
      </c>
      <c r="I44" s="145">
        <v>0.37847222222222227</v>
      </c>
    </row>
  </sheetData>
  <hyperlinks>
    <hyperlink ref="L8" r:id="rId1" display="Light rail from Seattle Tacoma Airport to International District Chinatown Light Rail Station. Go up the stairs/escalator/elevator from the office buildings to 4th Ave. Cross to the other side of 4th Ave. Go down the stairs/elevator to the Amtrak train pl"/>
    <hyperlink ref="L9" r:id="rId2" display="http://www.amtrakcascades.com/Seattle.htm"/>
    <hyperlink ref="K9" r:id="rId3" display="USD40"/>
    <hyperlink ref="D9" r:id="rId4" display="King St Station"/>
    <hyperlink ref="B9" location="'Seattle Airport to train'!A1" display="Amtrak Cascades bus"/>
  </hyperlinks>
  <pageMargins left="0.7" right="0.7" top="0.75" bottom="0.75" header="0.3" footer="0.3"/>
  <pageSetup paperSize="9" orientation="portrait" horizontalDpi="0" verticalDpi="0" r:id="rId5"/>
  <legacy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opLeftCell="C1" workbookViewId="0">
      <selection activeCell="L75" sqref="L75"/>
    </sheetView>
  </sheetViews>
  <sheetFormatPr defaultRowHeight="12.75" x14ac:dyDescent="0.2"/>
  <cols>
    <col min="1" max="1" width="20.28515625" hidden="1" customWidth="1"/>
    <col min="2" max="2" width="7.140625" hidden="1" customWidth="1"/>
    <col min="3" max="3" width="12.28515625" customWidth="1"/>
    <col min="4" max="4" width="15" customWidth="1"/>
    <col min="5" max="5" width="55.5703125" customWidth="1"/>
    <col min="6" max="6" width="4.7109375" hidden="1" customWidth="1"/>
    <col min="7" max="7" width="0" hidden="1" customWidth="1"/>
    <col min="8" max="8" width="6.5703125" style="69" hidden="1" customWidth="1"/>
    <col min="9" max="9" width="2" style="69" customWidth="1"/>
    <col min="10" max="10" width="9.140625" hidden="1" customWidth="1"/>
    <col min="11" max="11" width="12.28515625" customWidth="1"/>
    <col min="12" max="12" width="15" customWidth="1"/>
    <col min="13" max="13" width="32.7109375" customWidth="1"/>
  </cols>
  <sheetData>
    <row r="1" spans="1:13" ht="13.5" thickBot="1" x14ac:dyDescent="0.25"/>
    <row r="2" spans="1:13" ht="33.75" customHeight="1" thickBot="1" x14ac:dyDescent="0.25">
      <c r="A2" s="111" t="s">
        <v>97</v>
      </c>
      <c r="B2" s="111" t="s">
        <v>98</v>
      </c>
      <c r="C2" s="111" t="s">
        <v>184</v>
      </c>
      <c r="D2" s="111" t="s">
        <v>183</v>
      </c>
      <c r="E2" s="111" t="s">
        <v>182</v>
      </c>
      <c r="F2" s="111"/>
      <c r="G2" s="112" t="s">
        <v>100</v>
      </c>
      <c r="H2" s="113" t="s">
        <v>101</v>
      </c>
      <c r="I2" s="113"/>
      <c r="K2" s="111" t="s">
        <v>181</v>
      </c>
      <c r="L2" s="111" t="s">
        <v>180</v>
      </c>
      <c r="M2" s="111" t="s">
        <v>175</v>
      </c>
    </row>
    <row r="3" spans="1:13" ht="15" customHeight="1" x14ac:dyDescent="0.2">
      <c r="A3" s="115"/>
      <c r="B3" s="115"/>
      <c r="C3" s="153" t="str">
        <f t="shared" ref="C3:C28" si="0">TEXT(D3,"dddd")</f>
        <v>Thursday</v>
      </c>
      <c r="D3" s="154">
        <v>41123</v>
      </c>
      <c r="E3" s="117" t="s">
        <v>179</v>
      </c>
      <c r="F3" s="115"/>
      <c r="G3" s="155" t="s">
        <v>52</v>
      </c>
      <c r="K3" s="153" t="str">
        <f t="shared" ref="K3:K28" si="1">TEXT(L3,"dddd")</f>
        <v>Thursday</v>
      </c>
      <c r="L3" s="154">
        <v>41123</v>
      </c>
      <c r="M3" s="153" t="s">
        <v>172</v>
      </c>
    </row>
    <row r="4" spans="1:13" ht="15" customHeight="1" x14ac:dyDescent="0.2">
      <c r="A4" s="116"/>
      <c r="B4" s="116"/>
      <c r="C4" s="117" t="str">
        <f t="shared" si="0"/>
        <v>Thursday</v>
      </c>
      <c r="D4" s="118">
        <f t="shared" ref="D4:D24" si="2">D3</f>
        <v>41123</v>
      </c>
      <c r="E4" s="117" t="s">
        <v>172</v>
      </c>
      <c r="F4" s="116"/>
      <c r="G4" s="119" t="s">
        <v>52</v>
      </c>
      <c r="K4" s="117" t="str">
        <f t="shared" si="1"/>
        <v>Thursday</v>
      </c>
      <c r="L4" s="118">
        <f t="shared" ref="L4:L24" si="3">L3</f>
        <v>41123</v>
      </c>
      <c r="M4" s="117" t="s">
        <v>178</v>
      </c>
    </row>
    <row r="5" spans="1:13" ht="15" hidden="1" customHeight="1" x14ac:dyDescent="0.2">
      <c r="A5" s="117" t="s">
        <v>108</v>
      </c>
      <c r="B5" s="117">
        <v>2947</v>
      </c>
      <c r="C5" s="117" t="str">
        <f t="shared" si="0"/>
        <v>Thursday</v>
      </c>
      <c r="D5" s="118">
        <f t="shared" si="2"/>
        <v>41123</v>
      </c>
      <c r="E5" s="117" t="s">
        <v>105</v>
      </c>
      <c r="F5" s="117"/>
      <c r="G5" s="119">
        <v>0.3576388888888889</v>
      </c>
      <c r="H5" s="120" t="e">
        <f>G5-G4</f>
        <v>#VALUE!</v>
      </c>
      <c r="I5" s="120"/>
      <c r="K5" s="117" t="str">
        <f t="shared" si="1"/>
        <v>Thursday</v>
      </c>
      <c r="L5" s="118">
        <f t="shared" si="3"/>
        <v>41123</v>
      </c>
      <c r="M5" s="117" t="str">
        <f>M4</f>
        <v>Reno-Tahoe Airport</v>
      </c>
    </row>
    <row r="6" spans="1:13" ht="15" hidden="1" customHeight="1" x14ac:dyDescent="0.2">
      <c r="A6" s="117" t="s">
        <v>108</v>
      </c>
      <c r="B6" s="117">
        <v>2947</v>
      </c>
      <c r="C6" s="117" t="str">
        <f t="shared" si="0"/>
        <v>Thursday</v>
      </c>
      <c r="D6" s="118">
        <f t="shared" si="2"/>
        <v>41123</v>
      </c>
      <c r="E6" s="117" t="s">
        <v>105</v>
      </c>
      <c r="F6" s="117"/>
      <c r="G6" s="119">
        <v>0.50694444444444442</v>
      </c>
      <c r="K6" s="117" t="str">
        <f t="shared" si="1"/>
        <v>Thursday</v>
      </c>
      <c r="L6" s="118">
        <f t="shared" si="3"/>
        <v>41123</v>
      </c>
      <c r="M6" s="117" t="s">
        <v>109</v>
      </c>
    </row>
    <row r="7" spans="1:13" ht="15" hidden="1" customHeight="1" x14ac:dyDescent="0.2">
      <c r="A7" s="121" t="s">
        <v>108</v>
      </c>
      <c r="B7" s="121">
        <v>1361</v>
      </c>
      <c r="C7" s="117" t="str">
        <f t="shared" si="0"/>
        <v>Thursday</v>
      </c>
      <c r="D7" s="118">
        <f t="shared" si="2"/>
        <v>41123</v>
      </c>
      <c r="E7" s="121" t="s">
        <v>110</v>
      </c>
      <c r="F7" s="121">
        <f>D7-D6</f>
        <v>0</v>
      </c>
      <c r="G7" s="123">
        <v>0.47569444444444442</v>
      </c>
      <c r="K7" s="117" t="str">
        <f t="shared" si="1"/>
        <v>Thursday</v>
      </c>
      <c r="L7" s="118">
        <f t="shared" si="3"/>
        <v>41123</v>
      </c>
      <c r="M7" s="121" t="str">
        <f>M6</f>
        <v>Reno-Tahoe</v>
      </c>
    </row>
    <row r="8" spans="1:13" ht="15" hidden="1" customHeight="1" x14ac:dyDescent="0.2">
      <c r="A8" s="121" t="s">
        <v>108</v>
      </c>
      <c r="B8" s="121">
        <f>B7</f>
        <v>1361</v>
      </c>
      <c r="C8" s="117" t="str">
        <f t="shared" si="0"/>
        <v>Thursday</v>
      </c>
      <c r="D8" s="118">
        <f t="shared" si="2"/>
        <v>41123</v>
      </c>
      <c r="E8" s="121" t="s">
        <v>110</v>
      </c>
      <c r="F8" s="121"/>
      <c r="G8" s="123">
        <v>4.8611111111111112E-2</v>
      </c>
      <c r="K8" s="117" t="str">
        <f t="shared" si="1"/>
        <v>Thursday</v>
      </c>
      <c r="L8" s="118">
        <f t="shared" si="3"/>
        <v>41123</v>
      </c>
      <c r="M8" s="121" t="s">
        <v>112</v>
      </c>
    </row>
    <row r="9" spans="1:13" ht="26.25" hidden="1" customHeight="1" x14ac:dyDescent="0.2">
      <c r="A9" s="121" t="s">
        <v>114</v>
      </c>
      <c r="B9" s="121">
        <v>8906</v>
      </c>
      <c r="C9" s="117" t="str">
        <f t="shared" si="0"/>
        <v>Thursday</v>
      </c>
      <c r="D9" s="118">
        <f t="shared" si="2"/>
        <v>41123</v>
      </c>
      <c r="E9" s="121" t="s">
        <v>110</v>
      </c>
      <c r="F9" s="121"/>
      <c r="G9" s="123">
        <v>0.69791666666666663</v>
      </c>
      <c r="K9" s="117" t="str">
        <f t="shared" si="1"/>
        <v>Thursday</v>
      </c>
      <c r="L9" s="118">
        <f t="shared" si="3"/>
        <v>41123</v>
      </c>
      <c r="M9" s="124" t="s">
        <v>115</v>
      </c>
    </row>
    <row r="10" spans="1:13" ht="15" hidden="1" customHeight="1" x14ac:dyDescent="0.2">
      <c r="A10" s="121" t="s">
        <v>114</v>
      </c>
      <c r="B10" s="121">
        <v>8906</v>
      </c>
      <c r="C10" s="117" t="str">
        <f t="shared" si="0"/>
        <v>Thursday</v>
      </c>
      <c r="D10" s="118">
        <f t="shared" si="2"/>
        <v>41123</v>
      </c>
      <c r="E10" s="121" t="s">
        <v>110</v>
      </c>
      <c r="F10" s="121"/>
      <c r="G10" s="123">
        <v>0.83333333333333337</v>
      </c>
      <c r="K10" s="117" t="str">
        <f t="shared" si="1"/>
        <v>Thursday</v>
      </c>
      <c r="L10" s="118">
        <f t="shared" si="3"/>
        <v>41123</v>
      </c>
      <c r="M10" s="121" t="s">
        <v>118</v>
      </c>
    </row>
    <row r="11" spans="1:13" ht="15" hidden="1" customHeight="1" x14ac:dyDescent="0.2">
      <c r="A11" s="121" t="s">
        <v>119</v>
      </c>
      <c r="B11" s="121" t="s">
        <v>120</v>
      </c>
      <c r="C11" s="117" t="str">
        <f t="shared" si="0"/>
        <v>Thursday</v>
      </c>
      <c r="D11" s="118">
        <f t="shared" si="2"/>
        <v>41123</v>
      </c>
      <c r="E11" s="121" t="s">
        <v>122</v>
      </c>
      <c r="F11" s="127">
        <f>D11-D10</f>
        <v>0</v>
      </c>
      <c r="G11" s="123">
        <v>0.29166666666666669</v>
      </c>
      <c r="K11" s="117" t="str">
        <f t="shared" si="1"/>
        <v>Thursday</v>
      </c>
      <c r="L11" s="118">
        <f t="shared" si="3"/>
        <v>41123</v>
      </c>
      <c r="M11" s="121" t="s">
        <v>121</v>
      </c>
    </row>
    <row r="12" spans="1:13" ht="15" hidden="1" customHeight="1" x14ac:dyDescent="0.2">
      <c r="A12" s="121" t="s">
        <v>119</v>
      </c>
      <c r="B12" s="121" t="str">
        <f>B11</f>
        <v>WS538</v>
      </c>
      <c r="C12" s="117" t="str">
        <f t="shared" si="0"/>
        <v>Thursday</v>
      </c>
      <c r="D12" s="118">
        <f t="shared" si="2"/>
        <v>41123</v>
      </c>
      <c r="E12" s="121" t="s">
        <v>122</v>
      </c>
      <c r="F12" s="127"/>
      <c r="G12" s="123">
        <v>0.38819444444444445</v>
      </c>
      <c r="K12" s="117" t="str">
        <f t="shared" si="1"/>
        <v>Thursday</v>
      </c>
      <c r="L12" s="118">
        <f t="shared" si="3"/>
        <v>41123</v>
      </c>
      <c r="M12" s="121" t="s">
        <v>124</v>
      </c>
    </row>
    <row r="13" spans="1:13" ht="15" hidden="1" customHeight="1" x14ac:dyDescent="0.2">
      <c r="A13" s="121" t="s">
        <v>125</v>
      </c>
      <c r="B13" s="121"/>
      <c r="C13" s="117" t="str">
        <f t="shared" si="0"/>
        <v>Thursday</v>
      </c>
      <c r="D13" s="118">
        <f t="shared" si="2"/>
        <v>41123</v>
      </c>
      <c r="E13" s="121" t="s">
        <v>122</v>
      </c>
      <c r="F13" s="127"/>
      <c r="G13" s="123">
        <v>0.4375</v>
      </c>
      <c r="K13" s="117" t="str">
        <f t="shared" si="1"/>
        <v>Thursday</v>
      </c>
      <c r="L13" s="118">
        <f t="shared" si="3"/>
        <v>41123</v>
      </c>
      <c r="M13" s="121" t="str">
        <f>M12</f>
        <v xml:space="preserve"> Calgary YYC airport</v>
      </c>
    </row>
    <row r="14" spans="1:13" ht="15" hidden="1" customHeight="1" x14ac:dyDescent="0.2">
      <c r="A14" s="121" t="s">
        <v>125</v>
      </c>
      <c r="B14" s="121"/>
      <c r="C14" s="117" t="str">
        <f t="shared" si="0"/>
        <v>Thursday</v>
      </c>
      <c r="D14" s="118">
        <f t="shared" si="2"/>
        <v>41123</v>
      </c>
      <c r="E14" s="121" t="s">
        <v>122</v>
      </c>
      <c r="F14" s="127"/>
      <c r="G14" s="123">
        <v>0.52083333333333337</v>
      </c>
      <c r="K14" s="117" t="str">
        <f t="shared" si="1"/>
        <v>Thursday</v>
      </c>
      <c r="L14" s="118">
        <f t="shared" si="3"/>
        <v>41123</v>
      </c>
      <c r="M14" s="121" t="s">
        <v>126</v>
      </c>
    </row>
    <row r="15" spans="1:13" ht="15" hidden="1" customHeight="1" x14ac:dyDescent="0.2">
      <c r="A15" s="121" t="s">
        <v>128</v>
      </c>
      <c r="B15" s="121"/>
      <c r="C15" s="117" t="str">
        <f t="shared" si="0"/>
        <v>Thursday</v>
      </c>
      <c r="D15" s="118">
        <f t="shared" si="2"/>
        <v>41123</v>
      </c>
      <c r="E15" s="121" t="s">
        <v>130</v>
      </c>
      <c r="F15" s="127"/>
      <c r="G15" s="123">
        <v>0.33333333333333331</v>
      </c>
      <c r="K15" s="117" t="str">
        <f t="shared" si="1"/>
        <v>Thursday</v>
      </c>
      <c r="L15" s="118">
        <f t="shared" si="3"/>
        <v>41123</v>
      </c>
      <c r="M15" s="121" t="s">
        <v>129</v>
      </c>
    </row>
    <row r="16" spans="1:13" ht="15" hidden="1" customHeight="1" x14ac:dyDescent="0.2">
      <c r="A16" s="121" t="str">
        <f>A15</f>
        <v>La bicyclette</v>
      </c>
      <c r="B16" s="121"/>
      <c r="C16" s="117" t="str">
        <f t="shared" si="0"/>
        <v>Thursday</v>
      </c>
      <c r="D16" s="118">
        <f t="shared" si="2"/>
        <v>41123</v>
      </c>
      <c r="E16" s="121" t="s">
        <v>130</v>
      </c>
      <c r="F16" s="127">
        <f>D16-D15+1</f>
        <v>1</v>
      </c>
      <c r="G16" s="123">
        <v>0.58333333333333337</v>
      </c>
      <c r="K16" s="117" t="str">
        <f t="shared" si="1"/>
        <v>Thursday</v>
      </c>
      <c r="L16" s="118">
        <f t="shared" si="3"/>
        <v>41123</v>
      </c>
      <c r="M16" s="121" t="s">
        <v>131</v>
      </c>
    </row>
    <row r="17" spans="1:13" ht="15" hidden="1" customHeight="1" x14ac:dyDescent="0.2">
      <c r="A17" s="121" t="str">
        <f>A14</f>
        <v>Banff Airporter bus</v>
      </c>
      <c r="B17" s="121"/>
      <c r="C17" s="117" t="str">
        <f t="shared" si="0"/>
        <v>Thursday</v>
      </c>
      <c r="D17" s="118">
        <f t="shared" si="2"/>
        <v>41123</v>
      </c>
      <c r="E17" s="121" t="s">
        <v>132</v>
      </c>
      <c r="F17" s="127"/>
      <c r="G17" s="123">
        <v>0.625</v>
      </c>
      <c r="K17" s="117" t="str">
        <f t="shared" si="1"/>
        <v>Thursday</v>
      </c>
      <c r="L17" s="118">
        <f t="shared" si="3"/>
        <v>41123</v>
      </c>
      <c r="M17" s="121" t="str">
        <f>M16</f>
        <v>Jasper</v>
      </c>
    </row>
    <row r="18" spans="1:13" ht="15" hidden="1" customHeight="1" x14ac:dyDescent="0.2">
      <c r="A18" s="121" t="str">
        <f>A14</f>
        <v>Banff Airporter bus</v>
      </c>
      <c r="B18" s="121"/>
      <c r="C18" s="117" t="str">
        <f t="shared" si="0"/>
        <v>Thursday</v>
      </c>
      <c r="D18" s="118">
        <f t="shared" si="2"/>
        <v>41123</v>
      </c>
      <c r="E18" s="121" t="s">
        <v>132</v>
      </c>
      <c r="F18" s="127"/>
      <c r="G18" s="123">
        <v>0.75</v>
      </c>
      <c r="K18" s="117" t="str">
        <f t="shared" si="1"/>
        <v>Thursday</v>
      </c>
      <c r="L18" s="118">
        <f t="shared" si="3"/>
        <v>41123</v>
      </c>
      <c r="M18" s="121" t="s">
        <v>126</v>
      </c>
    </row>
    <row r="19" spans="1:13" ht="15" hidden="1" customHeight="1" x14ac:dyDescent="0.2">
      <c r="A19" s="121" t="str">
        <f>A18</f>
        <v>Banff Airporter bus</v>
      </c>
      <c r="B19" s="121"/>
      <c r="C19" s="117" t="str">
        <f t="shared" si="0"/>
        <v>Thursday</v>
      </c>
      <c r="D19" s="118">
        <f t="shared" si="2"/>
        <v>41123</v>
      </c>
      <c r="E19" s="121" t="s">
        <v>133</v>
      </c>
      <c r="F19" s="127">
        <f>D19-D18</f>
        <v>0</v>
      </c>
      <c r="G19" s="123">
        <v>0.35416666666666669</v>
      </c>
      <c r="K19" s="117" t="str">
        <f t="shared" si="1"/>
        <v>Thursday</v>
      </c>
      <c r="L19" s="118">
        <f t="shared" si="3"/>
        <v>41123</v>
      </c>
      <c r="M19" s="121" t="str">
        <f>M18</f>
        <v xml:space="preserve">Banff </v>
      </c>
    </row>
    <row r="20" spans="1:13" ht="15" hidden="1" customHeight="1" x14ac:dyDescent="0.2">
      <c r="A20" s="121" t="str">
        <f>A19</f>
        <v>Banff Airporter bus</v>
      </c>
      <c r="B20" s="121"/>
      <c r="C20" s="117" t="str">
        <f t="shared" si="0"/>
        <v>Thursday</v>
      </c>
      <c r="D20" s="118">
        <f t="shared" si="2"/>
        <v>41123</v>
      </c>
      <c r="E20" s="121" t="s">
        <v>133</v>
      </c>
      <c r="F20" s="127"/>
      <c r="G20" s="123">
        <v>0.4375</v>
      </c>
      <c r="K20" s="117" t="str">
        <f t="shared" si="1"/>
        <v>Thursday</v>
      </c>
      <c r="L20" s="118">
        <f t="shared" si="3"/>
        <v>41123</v>
      </c>
      <c r="M20" s="121" t="str">
        <f>M21</f>
        <v xml:space="preserve"> Calgary YYC airport</v>
      </c>
    </row>
    <row r="21" spans="1:13" ht="15" hidden="1" customHeight="1" x14ac:dyDescent="0.2">
      <c r="A21" s="121" t="str">
        <f>A11</f>
        <v>WestJets</v>
      </c>
      <c r="B21" s="121"/>
      <c r="C21" s="117" t="str">
        <f t="shared" si="0"/>
        <v>Thursday</v>
      </c>
      <c r="D21" s="118">
        <f t="shared" si="2"/>
        <v>41123</v>
      </c>
      <c r="E21" s="121" t="s">
        <v>134</v>
      </c>
      <c r="F21" s="127">
        <f>D21-D20</f>
        <v>0</v>
      </c>
      <c r="G21" s="123">
        <v>0.375</v>
      </c>
      <c r="K21" s="117" t="str">
        <f t="shared" si="1"/>
        <v>Thursday</v>
      </c>
      <c r="L21" s="118">
        <f t="shared" si="3"/>
        <v>41123</v>
      </c>
      <c r="M21" s="121" t="str">
        <f>M12</f>
        <v xml:space="preserve"> Calgary YYC airport</v>
      </c>
    </row>
    <row r="22" spans="1:13" ht="15" hidden="1" customHeight="1" x14ac:dyDescent="0.2">
      <c r="A22" s="121" t="str">
        <f>A21</f>
        <v>WestJets</v>
      </c>
      <c r="B22" s="121"/>
      <c r="C22" s="117" t="str">
        <f t="shared" si="0"/>
        <v>Thursday</v>
      </c>
      <c r="D22" s="118">
        <f t="shared" si="2"/>
        <v>41123</v>
      </c>
      <c r="E22" s="121" t="s">
        <v>135</v>
      </c>
      <c r="F22" s="121"/>
      <c r="G22" s="123">
        <v>0.39166666666666666</v>
      </c>
      <c r="K22" s="117" t="str">
        <f t="shared" si="1"/>
        <v>Thursday</v>
      </c>
      <c r="L22" s="118">
        <f t="shared" si="3"/>
        <v>41123</v>
      </c>
      <c r="M22" s="121" t="str">
        <f>M11</f>
        <v>Vancouver airport</v>
      </c>
    </row>
    <row r="23" spans="1:13" ht="15" hidden="1" customHeight="1" x14ac:dyDescent="0.2">
      <c r="A23" s="129" t="s">
        <v>114</v>
      </c>
      <c r="B23" s="130" t="s">
        <v>136</v>
      </c>
      <c r="C23" s="117" t="str">
        <f t="shared" si="0"/>
        <v>Thursday</v>
      </c>
      <c r="D23" s="118">
        <f t="shared" si="2"/>
        <v>41123</v>
      </c>
      <c r="E23" s="129" t="s">
        <v>137</v>
      </c>
      <c r="F23" s="129">
        <f>D23-D7</f>
        <v>0</v>
      </c>
      <c r="G23" s="132">
        <v>0.47916666666666669</v>
      </c>
      <c r="K23" s="117" t="str">
        <f t="shared" si="1"/>
        <v>Thursday</v>
      </c>
      <c r="L23" s="118">
        <f t="shared" si="3"/>
        <v>41123</v>
      </c>
      <c r="M23" s="129" t="str">
        <f>M10</f>
        <v>Vancouver station</v>
      </c>
    </row>
    <row r="24" spans="1:13" ht="15" hidden="1" customHeight="1" x14ac:dyDescent="0.2">
      <c r="A24" s="129" t="str">
        <f>A23</f>
        <v>Amtrak Cascades bus</v>
      </c>
      <c r="B24" s="130" t="str">
        <f>B23</f>
        <v>Thruway</v>
      </c>
      <c r="C24" s="117" t="str">
        <f t="shared" si="0"/>
        <v>Thursday</v>
      </c>
      <c r="D24" s="118">
        <f t="shared" si="2"/>
        <v>41123</v>
      </c>
      <c r="E24" s="129" t="s">
        <v>137</v>
      </c>
      <c r="F24" s="129"/>
      <c r="G24" s="132">
        <v>0.64583333333333337</v>
      </c>
      <c r="K24" s="117" t="str">
        <f t="shared" si="1"/>
        <v>Thursday</v>
      </c>
      <c r="L24" s="118">
        <f t="shared" si="3"/>
        <v>41123</v>
      </c>
      <c r="M24" s="129" t="s">
        <v>138</v>
      </c>
    </row>
    <row r="25" spans="1:13" ht="15" customHeight="1" x14ac:dyDescent="0.2">
      <c r="A25" s="133" t="s">
        <v>139</v>
      </c>
      <c r="B25" s="133">
        <v>491</v>
      </c>
      <c r="C25" s="129" t="str">
        <f t="shared" si="0"/>
        <v>Monday</v>
      </c>
      <c r="D25" s="137">
        <v>41155</v>
      </c>
      <c r="E25" s="129" t="s">
        <v>177</v>
      </c>
      <c r="F25" s="134">
        <f>D25-D24</f>
        <v>32</v>
      </c>
      <c r="G25" s="132">
        <v>0.55208333333333337</v>
      </c>
      <c r="K25" s="129" t="str">
        <f t="shared" si="1"/>
        <v>Tuesday</v>
      </c>
      <c r="L25" s="137">
        <v>41156</v>
      </c>
      <c r="M25" s="129" t="s">
        <v>174</v>
      </c>
    </row>
    <row r="26" spans="1:13" ht="15" hidden="1" customHeight="1" x14ac:dyDescent="0.2">
      <c r="A26" s="129" t="s">
        <v>139</v>
      </c>
      <c r="B26" s="133">
        <v>491</v>
      </c>
      <c r="C26" s="129" t="str">
        <f t="shared" si="0"/>
        <v>Tuesday</v>
      </c>
      <c r="D26" s="137">
        <f>D25+1</f>
        <v>41156</v>
      </c>
      <c r="E26" s="129" t="s">
        <v>173</v>
      </c>
      <c r="F26" s="136"/>
      <c r="G26" s="132">
        <v>0.35069444444444442</v>
      </c>
      <c r="K26" s="129" t="str">
        <f t="shared" si="1"/>
        <v>Wednesday</v>
      </c>
      <c r="L26" s="137">
        <f>L25+1</f>
        <v>41157</v>
      </c>
      <c r="M26" s="129" t="s">
        <v>141</v>
      </c>
    </row>
    <row r="27" spans="1:13" ht="15" hidden="1" customHeight="1" x14ac:dyDescent="0.2">
      <c r="A27" s="138" t="s">
        <v>139</v>
      </c>
      <c r="B27" s="138">
        <v>1030</v>
      </c>
      <c r="C27" s="129" t="str">
        <f t="shared" si="0"/>
        <v>Tuesday</v>
      </c>
      <c r="D27" s="139">
        <f>D26</f>
        <v>41156</v>
      </c>
      <c r="E27" s="129" t="s">
        <v>173</v>
      </c>
      <c r="F27" s="138"/>
      <c r="G27" s="140">
        <v>0.39930555555555558</v>
      </c>
      <c r="H27" s="120">
        <f>G27-G26</f>
        <v>4.861111111111116E-2</v>
      </c>
      <c r="I27" s="120"/>
      <c r="K27" s="129" t="str">
        <f t="shared" si="1"/>
        <v>Wednesday</v>
      </c>
      <c r="L27" s="139">
        <f>L26</f>
        <v>41157</v>
      </c>
      <c r="M27" s="129" t="s">
        <v>141</v>
      </c>
    </row>
    <row r="28" spans="1:13" ht="15" hidden="1" customHeight="1" x14ac:dyDescent="0.2">
      <c r="A28" s="129" t="s">
        <v>143</v>
      </c>
      <c r="B28" s="129"/>
      <c r="C28" s="129" t="str">
        <f t="shared" si="0"/>
        <v>Tuesday</v>
      </c>
      <c r="D28" s="137">
        <v>41156</v>
      </c>
      <c r="E28" s="129" t="s">
        <v>145</v>
      </c>
      <c r="F28" s="129"/>
      <c r="G28" s="132">
        <v>0.58194444444444449</v>
      </c>
      <c r="K28" s="129" t="str">
        <f t="shared" si="1"/>
        <v>Tuesday</v>
      </c>
      <c r="L28" s="137">
        <v>41156</v>
      </c>
      <c r="M28" s="129" t="s">
        <v>144</v>
      </c>
    </row>
    <row r="29" spans="1:13" ht="15" hidden="1" customHeight="1" x14ac:dyDescent="0.2">
      <c r="A29" s="129" t="s">
        <v>143</v>
      </c>
      <c r="B29" s="129"/>
      <c r="C29" s="129" t="str">
        <f>C28</f>
        <v>Tuesday</v>
      </c>
      <c r="D29" s="137">
        <f>D28</f>
        <v>41156</v>
      </c>
      <c r="E29" s="129" t="s">
        <v>145</v>
      </c>
      <c r="F29" s="129"/>
      <c r="G29" s="132">
        <v>0.73125000000000007</v>
      </c>
      <c r="K29" s="129" t="str">
        <f>K28</f>
        <v>Tuesday</v>
      </c>
      <c r="L29" s="137">
        <f>L28</f>
        <v>41156</v>
      </c>
      <c r="M29" s="129" t="s">
        <v>0</v>
      </c>
    </row>
    <row r="30" spans="1:13" ht="15" hidden="1" customHeight="1" x14ac:dyDescent="0.2">
      <c r="A30" s="129" t="s">
        <v>146</v>
      </c>
      <c r="B30" s="129"/>
      <c r="C30" s="129" t="str">
        <f t="shared" ref="C30:C39" si="4">TEXT(D30,"dddd")</f>
        <v>Wednesday</v>
      </c>
      <c r="D30" s="137">
        <f>D28+1</f>
        <v>41157</v>
      </c>
      <c r="E30" s="129" t="s">
        <v>148</v>
      </c>
      <c r="F30" s="129"/>
      <c r="G30" s="132">
        <v>0.33333333333333331</v>
      </c>
      <c r="K30" s="129" t="str">
        <f t="shared" ref="K30:K39" si="5">TEXT(L30,"dddd")</f>
        <v>Wednesday</v>
      </c>
      <c r="L30" s="137">
        <f>L28+1</f>
        <v>41157</v>
      </c>
      <c r="M30" s="129" t="s">
        <v>147</v>
      </c>
    </row>
    <row r="31" spans="1:13" ht="15" hidden="1" customHeight="1" x14ac:dyDescent="0.2">
      <c r="A31" s="129" t="s">
        <v>146</v>
      </c>
      <c r="B31" s="129"/>
      <c r="C31" s="129" t="str">
        <f t="shared" si="4"/>
        <v>Tuesday</v>
      </c>
      <c r="D31" s="137">
        <f>D30+6</f>
        <v>41163</v>
      </c>
      <c r="E31" s="129" t="s">
        <v>149</v>
      </c>
      <c r="F31" s="129"/>
      <c r="G31" s="132">
        <v>0.54166666666666663</v>
      </c>
      <c r="K31" s="129" t="str">
        <f t="shared" si="5"/>
        <v>Tuesday</v>
      </c>
      <c r="L31" s="137">
        <f>L30+6</f>
        <v>41163</v>
      </c>
      <c r="M31" s="129" t="s">
        <v>1</v>
      </c>
    </row>
    <row r="32" spans="1:13" ht="15" hidden="1" customHeight="1" x14ac:dyDescent="0.2">
      <c r="A32" s="129" t="s">
        <v>146</v>
      </c>
      <c r="B32" s="129"/>
      <c r="C32" s="129" t="str">
        <f t="shared" si="4"/>
        <v>Sunday</v>
      </c>
      <c r="D32" s="137">
        <f>D31+5</f>
        <v>41168</v>
      </c>
      <c r="E32" s="129" t="s">
        <v>150</v>
      </c>
      <c r="F32" s="129"/>
      <c r="G32" s="132">
        <v>0.5</v>
      </c>
      <c r="K32" s="129" t="str">
        <f t="shared" si="5"/>
        <v>Sunday</v>
      </c>
      <c r="L32" s="137">
        <f>L31+5</f>
        <v>41168</v>
      </c>
      <c r="M32" s="129" t="s">
        <v>2</v>
      </c>
    </row>
    <row r="33" spans="1:13" ht="15" hidden="1" customHeight="1" x14ac:dyDescent="0.2">
      <c r="A33" s="129" t="s">
        <v>146</v>
      </c>
      <c r="B33" s="129"/>
      <c r="C33" s="129" t="str">
        <f t="shared" si="4"/>
        <v>Thursday</v>
      </c>
      <c r="D33" s="137">
        <f>D32+4</f>
        <v>41172</v>
      </c>
      <c r="E33" s="129" t="s">
        <v>151</v>
      </c>
      <c r="F33" s="129"/>
      <c r="G33" s="132"/>
      <c r="K33" s="129" t="str">
        <f t="shared" si="5"/>
        <v>Thursday</v>
      </c>
      <c r="L33" s="137">
        <f>L32+4</f>
        <v>41172</v>
      </c>
      <c r="M33" s="129" t="s">
        <v>5</v>
      </c>
    </row>
    <row r="34" spans="1:13" ht="15" hidden="1" customHeight="1" x14ac:dyDescent="0.2">
      <c r="A34" s="129" t="str">
        <f>A28</f>
        <v>TVG train</v>
      </c>
      <c r="B34" s="141"/>
      <c r="C34" s="129" t="str">
        <f t="shared" si="4"/>
        <v>Thursday</v>
      </c>
      <c r="D34" s="137">
        <f>D33</f>
        <v>41172</v>
      </c>
      <c r="E34" s="129" t="s">
        <v>152</v>
      </c>
      <c r="F34" s="129"/>
      <c r="G34" s="132"/>
      <c r="K34" s="129" t="str">
        <f t="shared" si="5"/>
        <v>Thursday</v>
      </c>
      <c r="L34" s="137">
        <f>L33</f>
        <v>41172</v>
      </c>
      <c r="M34" s="129" t="s">
        <v>95</v>
      </c>
    </row>
    <row r="35" spans="1:13" ht="15" customHeight="1" x14ac:dyDescent="0.2">
      <c r="A35" s="142" t="s">
        <v>153</v>
      </c>
      <c r="B35" s="143">
        <v>645</v>
      </c>
      <c r="C35" s="142" t="str">
        <f t="shared" si="4"/>
        <v>Saturday</v>
      </c>
      <c r="D35" s="144">
        <v>41174</v>
      </c>
      <c r="E35" s="142" t="s">
        <v>176</v>
      </c>
      <c r="F35" s="142"/>
      <c r="G35" s="145">
        <v>0.84722222222222221</v>
      </c>
      <c r="K35" s="142" t="str">
        <f t="shared" si="5"/>
        <v>Monday</v>
      </c>
      <c r="L35" s="144">
        <v>41176</v>
      </c>
      <c r="M35" s="142" t="s">
        <v>157</v>
      </c>
    </row>
    <row r="36" spans="1:13" ht="15" hidden="1" customHeight="1" x14ac:dyDescent="0.2">
      <c r="A36" s="142" t="s">
        <v>153</v>
      </c>
      <c r="B36" s="146">
        <v>645</v>
      </c>
      <c r="C36" s="142" t="str">
        <f t="shared" si="4"/>
        <v>Saturday</v>
      </c>
      <c r="D36" s="144">
        <v>41174</v>
      </c>
      <c r="E36" s="142" t="s">
        <v>154</v>
      </c>
      <c r="F36" s="142"/>
      <c r="G36" s="145">
        <v>0.89583333333333337</v>
      </c>
      <c r="H36" s="120">
        <f>G36-G35</f>
        <v>4.861111111111116E-2</v>
      </c>
      <c r="I36" s="120"/>
      <c r="K36" s="142" t="str">
        <f t="shared" si="5"/>
        <v>Saturday</v>
      </c>
      <c r="L36" s="144">
        <v>41174</v>
      </c>
      <c r="M36" s="142" t="s">
        <v>155</v>
      </c>
    </row>
    <row r="37" spans="1:13" ht="15" hidden="1" customHeight="1" x14ac:dyDescent="0.2">
      <c r="A37" s="142" t="s">
        <v>103</v>
      </c>
      <c r="B37" s="146">
        <v>180</v>
      </c>
      <c r="C37" s="142" t="str">
        <f t="shared" si="4"/>
        <v>Saturday</v>
      </c>
      <c r="D37" s="144">
        <v>41174</v>
      </c>
      <c r="E37" s="142" t="s">
        <v>154</v>
      </c>
      <c r="F37" s="142"/>
      <c r="G37" s="145">
        <v>0.94791666666666663</v>
      </c>
      <c r="K37" s="142" t="str">
        <f t="shared" si="5"/>
        <v>Saturday</v>
      </c>
      <c r="L37" s="144">
        <v>41174</v>
      </c>
      <c r="M37" s="142" t="s">
        <v>155</v>
      </c>
    </row>
    <row r="38" spans="1:13" ht="15" hidden="1" customHeight="1" x14ac:dyDescent="0.2">
      <c r="A38" s="142" t="s">
        <v>103</v>
      </c>
      <c r="B38" s="147">
        <v>180</v>
      </c>
      <c r="C38" s="142" t="str">
        <f t="shared" si="4"/>
        <v>Sunday</v>
      </c>
      <c r="D38" s="144">
        <v>41175</v>
      </c>
      <c r="E38" s="142" t="s">
        <v>154</v>
      </c>
      <c r="F38" s="142"/>
      <c r="G38" s="145">
        <v>0.61111111111111105</v>
      </c>
      <c r="K38" s="142" t="str">
        <f t="shared" si="5"/>
        <v>Sunday</v>
      </c>
      <c r="L38" s="144">
        <v>41175</v>
      </c>
      <c r="M38" s="142" t="s">
        <v>156</v>
      </c>
    </row>
    <row r="39" spans="1:13" ht="15" hidden="1" customHeight="1" x14ac:dyDescent="0.2">
      <c r="A39" s="142" t="s">
        <v>103</v>
      </c>
      <c r="B39" s="142">
        <v>24</v>
      </c>
      <c r="C39" s="142" t="str">
        <f t="shared" si="4"/>
        <v>Sunday</v>
      </c>
      <c r="D39" s="144">
        <v>41175</v>
      </c>
      <c r="E39" s="142" t="s">
        <v>154</v>
      </c>
      <c r="F39" s="142"/>
      <c r="G39" s="145">
        <v>0.95486111111111116</v>
      </c>
      <c r="H39" s="120">
        <f>G39-G38</f>
        <v>0.34375000000000011</v>
      </c>
      <c r="I39" s="120"/>
      <c r="K39" s="142" t="str">
        <f t="shared" si="5"/>
        <v>Sunday</v>
      </c>
      <c r="L39" s="144">
        <v>41175</v>
      </c>
      <c r="M39" s="142" t="s">
        <v>156</v>
      </c>
    </row>
  </sheetData>
  <hyperlinks>
    <hyperlink ref="M9" r:id="rId1" display="King St Station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G8" sqref="G8"/>
    </sheetView>
  </sheetViews>
  <sheetFormatPr defaultRowHeight="12.75" x14ac:dyDescent="0.2"/>
  <sheetData>
    <row r="2" spans="1:1" x14ac:dyDescent="0.2">
      <c r="A2" s="198" t="s">
        <v>226</v>
      </c>
    </row>
    <row r="3" spans="1:1" x14ac:dyDescent="0.2">
      <c r="A3" s="198" t="s">
        <v>227</v>
      </c>
    </row>
    <row r="4" spans="1:1" x14ac:dyDescent="0.2">
      <c r="A4" s="198" t="s">
        <v>52</v>
      </c>
    </row>
    <row r="5" spans="1:1" x14ac:dyDescent="0.2">
      <c r="A5" s="197" t="s">
        <v>225</v>
      </c>
    </row>
    <row r="6" spans="1:1" x14ac:dyDescent="0.2">
      <c r="A6" t="s">
        <v>52</v>
      </c>
    </row>
  </sheetData>
  <hyperlinks>
    <hyperlink ref="A5" r:id="rId1"/>
  </hyperlinks>
  <pageMargins left="0.7" right="0.7" top="0.75" bottom="0.75" header="0.3" footer="0.3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workbookViewId="0">
      <selection activeCell="A12" sqref="A12"/>
    </sheetView>
  </sheetViews>
  <sheetFormatPr defaultRowHeight="12.75" x14ac:dyDescent="0.2"/>
  <cols>
    <col min="2" max="2" width="18.5703125" customWidth="1"/>
    <col min="3" max="3" width="10.140625" bestFit="1" customWidth="1"/>
    <col min="4" max="4" width="5" customWidth="1"/>
    <col min="5" max="5" width="10.140625" bestFit="1" customWidth="1"/>
    <col min="6" max="6" width="4.5703125" customWidth="1"/>
    <col min="7" max="7" width="3" style="69" customWidth="1"/>
    <col min="8" max="8" width="9.7109375" customWidth="1"/>
    <col min="10" max="10" width="11.28515625" customWidth="1"/>
    <col min="12" max="12" width="6.140625" customWidth="1"/>
    <col min="13" max="13" width="11.28515625" customWidth="1"/>
    <col min="15" max="15" width="11" bestFit="1" customWidth="1"/>
  </cols>
  <sheetData>
    <row r="2" spans="1:13" ht="15.75" x14ac:dyDescent="0.25">
      <c r="A2" s="86" t="s">
        <v>198</v>
      </c>
    </row>
    <row r="3" spans="1:13" x14ac:dyDescent="0.2">
      <c r="A3" s="172" t="s">
        <v>199</v>
      </c>
    </row>
    <row r="5" spans="1:13" ht="25.5" customHeight="1" x14ac:dyDescent="0.2">
      <c r="A5" t="s">
        <v>200</v>
      </c>
      <c r="C5" s="169" t="str">
        <f>C14</f>
        <v>Arrive</v>
      </c>
      <c r="D5" s="169"/>
      <c r="E5" s="169" t="str">
        <f>E14</f>
        <v>Depart</v>
      </c>
      <c r="H5" s="174" t="s">
        <v>203</v>
      </c>
    </row>
    <row r="6" spans="1:13" x14ac:dyDescent="0.2">
      <c r="C6" s="173">
        <f>'19 days - 18 nights Schedule'!B5</f>
        <v>41157</v>
      </c>
      <c r="D6" s="171" t="str">
        <f>TEXT(C6,"ddd")</f>
        <v>Wed</v>
      </c>
      <c r="E6" s="173">
        <f>'19 days - 18 nights Schedule'!B10</f>
        <v>41162</v>
      </c>
      <c r="F6" s="171" t="str">
        <f>TEXT(E6,"ddd")</f>
        <v>Mon</v>
      </c>
      <c r="G6" s="69">
        <f>E6-C6</f>
        <v>5</v>
      </c>
      <c r="H6" s="80">
        <v>18</v>
      </c>
      <c r="I6">
        <v>1</v>
      </c>
      <c r="M6" s="79">
        <f>H6*G6*I6</f>
        <v>90</v>
      </c>
    </row>
    <row r="7" spans="1:13" s="182" customFormat="1" x14ac:dyDescent="0.2">
      <c r="C7" s="183"/>
      <c r="E7" s="183"/>
      <c r="G7" s="183">
        <v>5</v>
      </c>
      <c r="H7" s="184">
        <v>25</v>
      </c>
      <c r="I7" s="128">
        <v>1</v>
      </c>
      <c r="M7" s="181">
        <f>H7*G7*I7</f>
        <v>125</v>
      </c>
    </row>
    <row r="8" spans="1:13" x14ac:dyDescent="0.2">
      <c r="M8" s="79">
        <f>M7+M6</f>
        <v>215</v>
      </c>
    </row>
    <row r="9" spans="1:13" x14ac:dyDescent="0.2">
      <c r="M9" s="181">
        <v>7</v>
      </c>
    </row>
    <row r="10" spans="1:13" x14ac:dyDescent="0.2">
      <c r="M10" s="79">
        <f>M8+M9</f>
        <v>222</v>
      </c>
    </row>
    <row r="11" spans="1:13" x14ac:dyDescent="0.2">
      <c r="J11" s="179">
        <v>268.51</v>
      </c>
      <c r="K11">
        <v>0.82679999999999998</v>
      </c>
      <c r="M11" s="79">
        <f>J11*K11</f>
        <v>222.00406799999999</v>
      </c>
    </row>
    <row r="12" spans="1:13" ht="15.75" x14ac:dyDescent="0.25">
      <c r="A12" s="86" t="s">
        <v>192</v>
      </c>
    </row>
    <row r="13" spans="1:13" ht="15" x14ac:dyDescent="0.25">
      <c r="A13" s="168" t="s">
        <v>191</v>
      </c>
    </row>
    <row r="14" spans="1:13" ht="15" x14ac:dyDescent="0.25">
      <c r="A14" s="168"/>
      <c r="C14" s="169" t="s">
        <v>106</v>
      </c>
      <c r="D14" s="169"/>
      <c r="E14" s="169" t="s">
        <v>102</v>
      </c>
    </row>
    <row r="15" spans="1:13" x14ac:dyDescent="0.2">
      <c r="A15" t="s">
        <v>196</v>
      </c>
      <c r="C15" s="170">
        <f>'19 days - 18 nights Schedule'!B10</f>
        <v>41162</v>
      </c>
      <c r="D15" s="171" t="str">
        <f>TEXT(C15,"ddd")</f>
        <v>Mon</v>
      </c>
      <c r="E15" s="170">
        <f>'19 days - 18 nights Schedule'!B16</f>
        <v>41168</v>
      </c>
      <c r="F15" s="171" t="str">
        <f>TEXT(E15,"ddd")</f>
        <v>Sun</v>
      </c>
      <c r="G15" s="69">
        <f>E15-C15</f>
        <v>6</v>
      </c>
      <c r="H15" s="80">
        <v>50</v>
      </c>
      <c r="I15">
        <v>1</v>
      </c>
      <c r="J15" s="80">
        <f>G15*H15</f>
        <v>300</v>
      </c>
      <c r="L15">
        <v>0.78</v>
      </c>
      <c r="M15" s="179">
        <f>J15/$L$15</f>
        <v>384.61538461538458</v>
      </c>
    </row>
    <row r="16" spans="1:13" x14ac:dyDescent="0.2">
      <c r="A16" t="s">
        <v>193</v>
      </c>
      <c r="C16" s="183"/>
      <c r="E16" s="183"/>
      <c r="G16" s="69">
        <f>G15</f>
        <v>6</v>
      </c>
      <c r="I16">
        <v>2</v>
      </c>
      <c r="J16" s="169" t="s">
        <v>194</v>
      </c>
      <c r="M16" s="179"/>
    </row>
    <row r="17" spans="1:13" x14ac:dyDescent="0.2">
      <c r="A17" t="s">
        <v>195</v>
      </c>
      <c r="G17" s="69">
        <f>G16</f>
        <v>6</v>
      </c>
      <c r="I17">
        <v>1</v>
      </c>
      <c r="M17" s="179"/>
    </row>
    <row r="18" spans="1:13" x14ac:dyDescent="0.2">
      <c r="A18" t="s">
        <v>197</v>
      </c>
      <c r="G18" s="69">
        <f t="shared" ref="G18" si="0">G17</f>
        <v>6</v>
      </c>
      <c r="H18" s="80">
        <v>8</v>
      </c>
      <c r="I18">
        <v>2</v>
      </c>
      <c r="J18" s="80">
        <f>G18*H18*I18</f>
        <v>96</v>
      </c>
      <c r="M18" s="179">
        <f>J18/$L$15</f>
        <v>123.07692307692307</v>
      </c>
    </row>
    <row r="19" spans="1:13" x14ac:dyDescent="0.2">
      <c r="A19" t="s">
        <v>204</v>
      </c>
      <c r="G19" s="69">
        <f>G18</f>
        <v>6</v>
      </c>
      <c r="H19" s="79">
        <v>0.43</v>
      </c>
      <c r="I19">
        <v>4</v>
      </c>
      <c r="J19" s="79">
        <f>G20*H19*I19</f>
        <v>10.32</v>
      </c>
      <c r="M19" s="179">
        <f>J19/$L$15</f>
        <v>13.23076923076923</v>
      </c>
    </row>
    <row r="20" spans="1:13" x14ac:dyDescent="0.2">
      <c r="A20" t="s">
        <v>205</v>
      </c>
      <c r="G20" s="69">
        <f t="shared" ref="G20" si="1">G19</f>
        <v>6</v>
      </c>
      <c r="J20" s="178">
        <v>17</v>
      </c>
      <c r="M20" s="180">
        <f>J20/$L$15</f>
        <v>21.794871794871796</v>
      </c>
    </row>
    <row r="21" spans="1:13" x14ac:dyDescent="0.2">
      <c r="J21" s="79">
        <f>SUM(J15:J20)</f>
        <v>423.32</v>
      </c>
      <c r="M21" s="179">
        <f>SUM(M15:M20)</f>
        <v>542.71794871794873</v>
      </c>
    </row>
    <row r="23" spans="1:13" x14ac:dyDescent="0.2">
      <c r="I23" t="s">
        <v>208</v>
      </c>
      <c r="J23" s="79">
        <v>135.80000000000001</v>
      </c>
      <c r="K23" s="175">
        <f>J23/J21</f>
        <v>0.32079750543324204</v>
      </c>
      <c r="M23" s="179">
        <f>J23/$L$15</f>
        <v>174.10256410256412</v>
      </c>
    </row>
    <row r="24" spans="1:13" x14ac:dyDescent="0.2">
      <c r="I24" t="s">
        <v>207</v>
      </c>
      <c r="J24" s="181">
        <f>J21-J23</f>
        <v>287.52</v>
      </c>
      <c r="K24" s="177">
        <f>J24/J21</f>
        <v>0.67920249456675796</v>
      </c>
      <c r="M24" s="180">
        <f>J24/$L$15</f>
        <v>368.61538461538458</v>
      </c>
    </row>
    <row r="25" spans="1:13" x14ac:dyDescent="0.2">
      <c r="J25" s="79">
        <f>SUM(J23:J24)</f>
        <v>423.32</v>
      </c>
      <c r="K25" s="176">
        <f>SUM(K23:K24)</f>
        <v>1</v>
      </c>
      <c r="M25" s="179">
        <f>SUM(M23:M24)</f>
        <v>542.71794871794873</v>
      </c>
    </row>
    <row r="28" spans="1:13" ht="15.75" x14ac:dyDescent="0.25">
      <c r="A28" s="86" t="s">
        <v>209</v>
      </c>
    </row>
    <row r="30" spans="1:13" x14ac:dyDescent="0.2">
      <c r="C30" s="169" t="s">
        <v>106</v>
      </c>
      <c r="D30" s="169"/>
      <c r="E30" s="169" t="s">
        <v>102</v>
      </c>
    </row>
    <row r="31" spans="1:13" x14ac:dyDescent="0.2">
      <c r="C31" s="173">
        <f>'19 days - 18 nights Schedule'!B16</f>
        <v>41168</v>
      </c>
      <c r="D31" s="171" t="str">
        <f>TEXT(C31,"ddd")</f>
        <v>Sun</v>
      </c>
      <c r="E31" s="173">
        <f>'19 days - 18 nights Schedule'!B19</f>
        <v>41171</v>
      </c>
      <c r="F31" s="171" t="str">
        <f>TEXT(E31,"ddd")</f>
        <v>Wed</v>
      </c>
      <c r="G31" s="69">
        <f>E31-C31</f>
        <v>3</v>
      </c>
    </row>
    <row r="32" spans="1:13" x14ac:dyDescent="0.2">
      <c r="C32" s="183"/>
      <c r="E32" s="183"/>
    </row>
    <row r="33" spans="7:7" x14ac:dyDescent="0.2">
      <c r="G33" s="69">
        <f>G6+G15+G31</f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opLeftCell="A7" workbookViewId="0">
      <selection activeCell="F12" sqref="F12"/>
    </sheetView>
  </sheetViews>
  <sheetFormatPr defaultRowHeight="16.5" x14ac:dyDescent="0.3"/>
  <cols>
    <col min="1" max="1" width="3.42578125" style="21" customWidth="1"/>
    <col min="2" max="2" width="3.28515625" customWidth="1"/>
    <col min="3" max="3" width="10.140625" customWidth="1"/>
    <col min="4" max="4" width="5.85546875" customWidth="1"/>
    <col min="5" max="5" width="5.7109375" customWidth="1"/>
    <col min="6" max="6" width="53.140625" customWidth="1"/>
    <col min="7" max="7" width="5.28515625" customWidth="1"/>
    <col min="8" max="8" width="6" style="1" customWidth="1"/>
    <col min="9" max="9" width="5.42578125" style="1" customWidth="1"/>
    <col min="10" max="10" width="6" style="1" customWidth="1"/>
    <col min="11" max="11" width="6.42578125" customWidth="1"/>
    <col min="12" max="12" width="7.5703125" customWidth="1"/>
    <col min="13" max="13" width="7.85546875" customWidth="1"/>
    <col min="14" max="14" width="7.7109375" customWidth="1"/>
    <col min="15" max="16" width="7.85546875" customWidth="1"/>
    <col min="17" max="17" width="7.85546875" style="1" customWidth="1"/>
    <col min="18" max="18" width="6.140625" customWidth="1"/>
    <col min="19" max="19" width="5" customWidth="1"/>
    <col min="20" max="20" width="7.7109375" customWidth="1"/>
    <col min="21" max="21" width="7.5703125" style="69" customWidth="1"/>
    <col min="22" max="22" width="6.7109375" customWidth="1"/>
    <col min="23" max="23" width="7.5703125" customWidth="1"/>
    <col min="24" max="24" width="7.85546875" customWidth="1"/>
    <col min="25" max="25" width="6.42578125" customWidth="1"/>
    <col min="26" max="26" width="5.85546875" customWidth="1"/>
    <col min="27" max="27" width="4.85546875" customWidth="1"/>
    <col min="28" max="29" width="5.28515625" customWidth="1"/>
    <col min="30" max="30" width="6" customWidth="1"/>
  </cols>
  <sheetData>
    <row r="1" spans="1:31" ht="18.75" x14ac:dyDescent="0.3">
      <c r="I1" s="67" t="s">
        <v>52</v>
      </c>
      <c r="K1" s="54" t="s">
        <v>65</v>
      </c>
    </row>
    <row r="2" spans="1:31" ht="65.25" customHeight="1" x14ac:dyDescent="0.3">
      <c r="A2" s="21" t="s">
        <v>61</v>
      </c>
      <c r="B2" s="107" t="s">
        <v>7</v>
      </c>
      <c r="C2" s="34" t="s">
        <v>8</v>
      </c>
      <c r="D2" s="33" t="s">
        <v>7</v>
      </c>
      <c r="E2" s="35" t="s">
        <v>185</v>
      </c>
      <c r="F2" s="35"/>
      <c r="G2" s="56" t="s">
        <v>17</v>
      </c>
      <c r="H2" s="63" t="s">
        <v>12</v>
      </c>
      <c r="I2" s="63" t="s">
        <v>51</v>
      </c>
      <c r="J2" s="63" t="s">
        <v>56</v>
      </c>
      <c r="K2" s="64" t="s">
        <v>10</v>
      </c>
      <c r="L2" s="64" t="s">
        <v>11</v>
      </c>
      <c r="M2" s="64" t="s">
        <v>14</v>
      </c>
      <c r="N2" s="65" t="s">
        <v>13</v>
      </c>
      <c r="O2" s="64" t="s">
        <v>68</v>
      </c>
      <c r="P2" s="64" t="s">
        <v>69</v>
      </c>
      <c r="Q2" s="63" t="s">
        <v>67</v>
      </c>
      <c r="R2" s="62" t="s">
        <v>41</v>
      </c>
      <c r="S2" s="62" t="s">
        <v>18</v>
      </c>
      <c r="T2" s="65" t="s">
        <v>42</v>
      </c>
      <c r="U2" s="65" t="s">
        <v>47</v>
      </c>
      <c r="V2" s="62" t="s">
        <v>15</v>
      </c>
      <c r="W2" s="62" t="s">
        <v>43</v>
      </c>
      <c r="X2" s="62" t="s">
        <v>66</v>
      </c>
      <c r="Y2" s="62" t="s">
        <v>70</v>
      </c>
      <c r="Z2" s="56" t="s">
        <v>48</v>
      </c>
      <c r="AA2" s="56" t="s">
        <v>49</v>
      </c>
      <c r="AB2" s="66" t="s">
        <v>53</v>
      </c>
      <c r="AC2" s="62" t="s">
        <v>50</v>
      </c>
      <c r="AD2" s="55" t="s">
        <v>171</v>
      </c>
      <c r="AE2" s="53"/>
    </row>
    <row r="3" spans="1:31" ht="14.25" customHeight="1" x14ac:dyDescent="0.3">
      <c r="A3" s="149" t="s">
        <v>166</v>
      </c>
      <c r="B3" s="100">
        <f>B4</f>
        <v>1</v>
      </c>
      <c r="C3" s="108">
        <f>C4</f>
        <v>41157</v>
      </c>
      <c r="D3" s="78" t="str">
        <f>TEXT(C3,"ddd")</f>
        <v>Wed</v>
      </c>
      <c r="E3" s="78"/>
      <c r="F3" s="99" t="s">
        <v>224</v>
      </c>
      <c r="G3" s="101"/>
      <c r="H3" s="102"/>
      <c r="I3" s="102"/>
      <c r="J3" s="102"/>
      <c r="K3" s="103"/>
      <c r="L3" s="103"/>
      <c r="M3" s="103"/>
      <c r="N3" s="104"/>
      <c r="O3" s="103"/>
      <c r="P3" s="103"/>
      <c r="Q3" s="102"/>
      <c r="R3" s="105"/>
      <c r="S3" s="105"/>
      <c r="T3" s="104"/>
      <c r="U3" s="104"/>
      <c r="V3" s="105"/>
      <c r="W3" s="105"/>
      <c r="X3" s="105"/>
      <c r="Y3" s="105"/>
      <c r="Z3" s="101"/>
      <c r="AA3" s="101"/>
      <c r="AB3" s="106"/>
      <c r="AC3" s="105"/>
      <c r="AD3" s="55"/>
      <c r="AE3" s="53"/>
    </row>
    <row r="4" spans="1:31" x14ac:dyDescent="0.3">
      <c r="A4" s="149" t="s">
        <v>166</v>
      </c>
      <c r="B4" s="21">
        <v>1</v>
      </c>
      <c r="C4" s="22">
        <v>41157</v>
      </c>
      <c r="D4" s="78" t="str">
        <f>TEXT(C4,"ddd")</f>
        <v>Wed</v>
      </c>
      <c r="E4" s="78">
        <f>B4</f>
        <v>1</v>
      </c>
      <c r="F4" s="50" t="s">
        <v>16</v>
      </c>
      <c r="G4" s="29"/>
      <c r="H4" s="30">
        <v>0.5625</v>
      </c>
      <c r="I4" s="30">
        <v>0</v>
      </c>
      <c r="J4" s="30">
        <f t="shared" ref="J4:J20" si="0">H4+I4</f>
        <v>0.5625</v>
      </c>
      <c r="K4" s="36">
        <v>560</v>
      </c>
      <c r="L4" s="36">
        <v>1705</v>
      </c>
      <c r="M4" s="36">
        <f t="shared" ref="M4:M18" si="1">L4-K4</f>
        <v>1145</v>
      </c>
      <c r="N4" s="46">
        <v>17.5</v>
      </c>
      <c r="O4" s="31">
        <f t="shared" ref="O4:O20" si="2">M4/(N4*1000)</f>
        <v>6.5428571428571433E-2</v>
      </c>
      <c r="P4" s="38">
        <v>8.2000000000000003E-2</v>
      </c>
      <c r="Q4" s="30">
        <v>9.0277777777777776E-2</v>
      </c>
      <c r="R4" s="30">
        <f t="shared" ref="R4:R18" si="3">J4+Q4</f>
        <v>0.65277777777777779</v>
      </c>
      <c r="S4" s="30">
        <v>2.0833333333333332E-2</v>
      </c>
      <c r="T4" s="47">
        <f>U4-N4</f>
        <v>19.100000000000001</v>
      </c>
      <c r="U4" s="73">
        <v>36.6</v>
      </c>
      <c r="V4" s="30">
        <f t="shared" ref="V4:V15" si="4">R4+S4</f>
        <v>0.67361111111111116</v>
      </c>
      <c r="W4" s="30">
        <v>2.7777777777777776E-2</v>
      </c>
      <c r="X4" s="30">
        <f>Q4+W4</f>
        <v>0.11805555555555555</v>
      </c>
      <c r="Y4" s="30">
        <f t="shared" ref="Y4:Y9" si="5">V4+W4</f>
        <v>0.70138888888888895</v>
      </c>
      <c r="Z4" s="29"/>
      <c r="AA4" s="29">
        <f>G4+Z4</f>
        <v>0</v>
      </c>
      <c r="AB4" s="29"/>
      <c r="AC4" s="68">
        <f t="shared" ref="AC4:AC15" si="6">Y4+AB4</f>
        <v>0.70138888888888895</v>
      </c>
      <c r="AD4" s="75">
        <v>10</v>
      </c>
    </row>
    <row r="5" spans="1:31" x14ac:dyDescent="0.3">
      <c r="A5" s="149" t="s">
        <v>166</v>
      </c>
      <c r="B5" s="21">
        <v>2</v>
      </c>
      <c r="C5" s="22">
        <v>41158</v>
      </c>
      <c r="D5" s="78" t="str">
        <f t="shared" ref="D5:D11" si="7">TEXT(C5,"ddd")</f>
        <v>Thu</v>
      </c>
      <c r="E5" s="78">
        <f t="shared" ref="E5:E8" si="8">B5</f>
        <v>2</v>
      </c>
      <c r="F5" s="50" t="s">
        <v>54</v>
      </c>
      <c r="G5" s="29"/>
      <c r="H5" s="30">
        <v>0.35416666666666669</v>
      </c>
      <c r="I5" s="30">
        <v>0</v>
      </c>
      <c r="J5" s="30">
        <f t="shared" si="0"/>
        <v>0.35416666666666669</v>
      </c>
      <c r="K5" s="36">
        <v>543</v>
      </c>
      <c r="L5" s="36">
        <v>1639</v>
      </c>
      <c r="M5" s="36">
        <f t="shared" si="1"/>
        <v>1096</v>
      </c>
      <c r="N5" s="46">
        <v>16.93</v>
      </c>
      <c r="O5" s="31">
        <f t="shared" si="2"/>
        <v>6.4737152982870638E-2</v>
      </c>
      <c r="P5" s="38">
        <v>8.1000000000000003E-2</v>
      </c>
      <c r="Q5" s="30">
        <v>8.3333333333333329E-2</v>
      </c>
      <c r="R5" s="30">
        <f t="shared" si="3"/>
        <v>0.4375</v>
      </c>
      <c r="S5" s="30">
        <v>2.0833333333333332E-2</v>
      </c>
      <c r="T5" s="47">
        <f t="shared" ref="T5:T16" si="9">U5-N5</f>
        <v>21.700000000000003</v>
      </c>
      <c r="U5" s="73">
        <v>38.630000000000003</v>
      </c>
      <c r="V5" s="30">
        <f t="shared" si="4"/>
        <v>0.45833333333333331</v>
      </c>
      <c r="W5" s="30">
        <v>3.8194444444444441E-2</v>
      </c>
      <c r="X5" s="30">
        <f t="shared" ref="X5:X20" si="10">Q5+W5</f>
        <v>0.12152777777777776</v>
      </c>
      <c r="Y5" s="30">
        <f t="shared" si="5"/>
        <v>0.49652777777777773</v>
      </c>
      <c r="Z5" s="29"/>
      <c r="AA5" s="29">
        <f t="shared" ref="AA5:AA15" si="11">G5+Z5</f>
        <v>0</v>
      </c>
      <c r="AB5" s="29"/>
      <c r="AC5" s="68">
        <f t="shared" si="6"/>
        <v>0.49652777777777773</v>
      </c>
      <c r="AD5" s="75">
        <v>11</v>
      </c>
    </row>
    <row r="6" spans="1:31" x14ac:dyDescent="0.3">
      <c r="A6" s="149" t="s">
        <v>166</v>
      </c>
      <c r="B6" s="21">
        <v>3</v>
      </c>
      <c r="C6" s="22">
        <v>41159</v>
      </c>
      <c r="D6" s="78" t="str">
        <f t="shared" si="7"/>
        <v>Fri</v>
      </c>
      <c r="E6" s="78">
        <f t="shared" si="8"/>
        <v>3</v>
      </c>
      <c r="F6" s="50" t="s">
        <v>55</v>
      </c>
      <c r="G6" s="43">
        <v>14.1</v>
      </c>
      <c r="H6" s="30">
        <v>0.35416666666666702</v>
      </c>
      <c r="I6" s="30">
        <v>1.7361111111111112E-2</v>
      </c>
      <c r="J6" s="30">
        <f t="shared" si="0"/>
        <v>0.37152777777777812</v>
      </c>
      <c r="K6" s="36">
        <v>712</v>
      </c>
      <c r="L6" s="36">
        <v>2642</v>
      </c>
      <c r="M6" s="36">
        <f t="shared" si="1"/>
        <v>1930</v>
      </c>
      <c r="N6" s="46">
        <v>34.799999999999997</v>
      </c>
      <c r="O6" s="31">
        <f t="shared" si="2"/>
        <v>5.5459770114942526E-2</v>
      </c>
      <c r="P6" s="38">
        <v>0.1</v>
      </c>
      <c r="Q6" s="30">
        <v>0.16666666666666666</v>
      </c>
      <c r="R6" s="30">
        <f t="shared" si="3"/>
        <v>0.53819444444444475</v>
      </c>
      <c r="S6" s="30">
        <v>4.1666666666666664E-2</v>
      </c>
      <c r="T6" s="47">
        <f>N6</f>
        <v>34.799999999999997</v>
      </c>
      <c r="U6" s="73">
        <f>N6+T6</f>
        <v>69.599999999999994</v>
      </c>
      <c r="V6" s="30">
        <f t="shared" si="4"/>
        <v>0.57986111111111138</v>
      </c>
      <c r="W6" s="30">
        <v>7.2916666666666699E-2</v>
      </c>
      <c r="X6" s="30">
        <f t="shared" si="10"/>
        <v>0.23958333333333337</v>
      </c>
      <c r="Y6" s="30">
        <f t="shared" si="5"/>
        <v>0.65277777777777812</v>
      </c>
      <c r="Z6" s="29">
        <f>G6</f>
        <v>14.1</v>
      </c>
      <c r="AA6" s="29">
        <f t="shared" si="11"/>
        <v>28.2</v>
      </c>
      <c r="AB6" s="48">
        <f>I6</f>
        <v>1.7361111111111112E-2</v>
      </c>
      <c r="AC6" s="68">
        <f t="shared" si="6"/>
        <v>0.67013888888888928</v>
      </c>
      <c r="AD6" s="75">
        <v>1</v>
      </c>
    </row>
    <row r="7" spans="1:31" x14ac:dyDescent="0.3">
      <c r="A7" s="149" t="s">
        <v>166</v>
      </c>
      <c r="B7" s="21">
        <v>4</v>
      </c>
      <c r="C7" s="22">
        <v>41160</v>
      </c>
      <c r="D7" s="78" t="str">
        <f t="shared" si="7"/>
        <v>Sat</v>
      </c>
      <c r="E7" s="78">
        <f t="shared" si="8"/>
        <v>4</v>
      </c>
      <c r="F7" s="50" t="s">
        <v>57</v>
      </c>
      <c r="G7" s="29">
        <v>29</v>
      </c>
      <c r="H7" s="30">
        <v>0.35416666666666702</v>
      </c>
      <c r="I7" s="30">
        <v>3.8194444444444441E-2</v>
      </c>
      <c r="J7" s="30">
        <f t="shared" si="0"/>
        <v>0.39236111111111144</v>
      </c>
      <c r="K7" s="36">
        <v>494</v>
      </c>
      <c r="L7" s="36">
        <v>2067</v>
      </c>
      <c r="M7" s="36">
        <f t="shared" si="1"/>
        <v>1573</v>
      </c>
      <c r="N7" s="46">
        <v>21</v>
      </c>
      <c r="O7" s="31">
        <f t="shared" si="2"/>
        <v>7.4904761904761905E-2</v>
      </c>
      <c r="P7" s="38">
        <v>8.5000000000000006E-2</v>
      </c>
      <c r="Q7" s="30">
        <v>0.11805555555555557</v>
      </c>
      <c r="R7" s="30">
        <f t="shared" si="3"/>
        <v>0.51041666666666696</v>
      </c>
      <c r="S7" s="30">
        <v>2.0833333333333332E-2</v>
      </c>
      <c r="T7" s="51">
        <f t="shared" si="9"/>
        <v>36.799999999999997</v>
      </c>
      <c r="U7" s="73">
        <v>57.8</v>
      </c>
      <c r="V7" s="30">
        <f t="shared" si="4"/>
        <v>0.53125000000000033</v>
      </c>
      <c r="W7" s="30">
        <v>6.25E-2</v>
      </c>
      <c r="X7" s="30">
        <f t="shared" si="10"/>
        <v>0.18055555555555558</v>
      </c>
      <c r="Y7" s="30">
        <f t="shared" si="5"/>
        <v>0.59375000000000033</v>
      </c>
      <c r="Z7" s="29"/>
      <c r="AA7" s="29">
        <f t="shared" si="11"/>
        <v>29</v>
      </c>
      <c r="AB7" s="29"/>
      <c r="AC7" s="68">
        <f t="shared" si="6"/>
        <v>0.59375000000000033</v>
      </c>
      <c r="AD7" s="75">
        <v>8</v>
      </c>
    </row>
    <row r="8" spans="1:31" x14ac:dyDescent="0.3">
      <c r="A8" s="149" t="s">
        <v>166</v>
      </c>
      <c r="B8" s="21">
        <v>5</v>
      </c>
      <c r="C8" s="22">
        <v>41161</v>
      </c>
      <c r="D8" s="78" t="str">
        <f t="shared" si="7"/>
        <v>Sun</v>
      </c>
      <c r="E8" s="157">
        <f t="shared" si="8"/>
        <v>5</v>
      </c>
      <c r="F8" s="50" t="s">
        <v>9</v>
      </c>
      <c r="G8" s="29">
        <v>11.5</v>
      </c>
      <c r="H8" s="30">
        <v>0.35416666666666669</v>
      </c>
      <c r="I8" s="30">
        <v>2.0833333333333332E-2</v>
      </c>
      <c r="J8" s="30">
        <f t="shared" si="0"/>
        <v>0.375</v>
      </c>
      <c r="K8" s="36">
        <v>471</v>
      </c>
      <c r="L8" s="36">
        <v>1993</v>
      </c>
      <c r="M8" s="36">
        <f t="shared" si="1"/>
        <v>1522</v>
      </c>
      <c r="N8" s="46">
        <v>19.05</v>
      </c>
      <c r="O8" s="31">
        <f t="shared" si="2"/>
        <v>7.9895013123359573E-2</v>
      </c>
      <c r="P8" s="38">
        <v>9.0999999999999998E-2</v>
      </c>
      <c r="Q8" s="30">
        <v>0.10416666666666667</v>
      </c>
      <c r="R8" s="30">
        <f t="shared" si="3"/>
        <v>0.47916666666666669</v>
      </c>
      <c r="S8" s="30">
        <v>2.0833333333333332E-2</v>
      </c>
      <c r="T8" s="51">
        <f t="shared" si="9"/>
        <v>19.05</v>
      </c>
      <c r="U8" s="73">
        <v>38.1</v>
      </c>
      <c r="V8" s="30">
        <f t="shared" si="4"/>
        <v>0.5</v>
      </c>
      <c r="W8" s="30">
        <v>3.8194444444444441E-2</v>
      </c>
      <c r="X8" s="30">
        <f t="shared" si="10"/>
        <v>0.1423611111111111</v>
      </c>
      <c r="Y8" s="30">
        <f t="shared" si="5"/>
        <v>0.53819444444444442</v>
      </c>
      <c r="Z8" s="29">
        <v>11.5</v>
      </c>
      <c r="AA8" s="29">
        <f t="shared" si="11"/>
        <v>23</v>
      </c>
      <c r="AB8" s="42">
        <f>I8</f>
        <v>2.0833333333333332E-2</v>
      </c>
      <c r="AC8" s="68">
        <f t="shared" si="6"/>
        <v>0.55902777777777779</v>
      </c>
      <c r="AD8" s="75">
        <v>9</v>
      </c>
    </row>
    <row r="9" spans="1:31" x14ac:dyDescent="0.3">
      <c r="A9" s="149" t="s">
        <v>166</v>
      </c>
      <c r="B9" s="21">
        <v>6</v>
      </c>
      <c r="C9" s="22">
        <v>41162</v>
      </c>
      <c r="D9" s="78" t="str">
        <f t="shared" si="7"/>
        <v>Mon</v>
      </c>
      <c r="F9" s="50" t="s">
        <v>63</v>
      </c>
      <c r="G9" s="29"/>
      <c r="H9" s="30">
        <v>0.35416666666666702</v>
      </c>
      <c r="I9" s="30">
        <f>I5</f>
        <v>0</v>
      </c>
      <c r="J9" s="30">
        <f t="shared" si="0"/>
        <v>0.35416666666666702</v>
      </c>
      <c r="K9" s="36">
        <v>567</v>
      </c>
      <c r="L9" s="36">
        <v>1617</v>
      </c>
      <c r="M9" s="36">
        <f t="shared" si="1"/>
        <v>1050</v>
      </c>
      <c r="N9" s="46">
        <v>17.2</v>
      </c>
      <c r="O9" s="31">
        <f t="shared" si="2"/>
        <v>6.1046511627906974E-2</v>
      </c>
      <c r="P9" s="38">
        <v>7.1999999999999995E-2</v>
      </c>
      <c r="Q9" s="30">
        <v>7.6388888888888895E-2</v>
      </c>
      <c r="R9" s="30">
        <f t="shared" si="3"/>
        <v>0.43055555555555591</v>
      </c>
      <c r="S9" s="30">
        <v>2.0833333333333301E-2</v>
      </c>
      <c r="T9" s="51">
        <f t="shared" si="9"/>
        <v>17.2</v>
      </c>
      <c r="U9" s="73">
        <f>N9*2</f>
        <v>34.4</v>
      </c>
      <c r="V9" s="30">
        <f t="shared" si="4"/>
        <v>0.45138888888888923</v>
      </c>
      <c r="W9" s="30">
        <v>2.4305555555555556E-2</v>
      </c>
      <c r="X9" s="30">
        <f t="shared" si="10"/>
        <v>0.10069444444444445</v>
      </c>
      <c r="Y9" s="30">
        <f t="shared" si="5"/>
        <v>0.47569444444444481</v>
      </c>
      <c r="Z9" s="29"/>
      <c r="AA9" s="29">
        <f t="shared" si="11"/>
        <v>0</v>
      </c>
      <c r="AB9" s="29"/>
      <c r="AC9" s="68">
        <f t="shared" si="6"/>
        <v>0.47569444444444481</v>
      </c>
      <c r="AD9" s="75">
        <v>13</v>
      </c>
    </row>
    <row r="10" spans="1:31" x14ac:dyDescent="0.3">
      <c r="A10" s="152"/>
      <c r="B10" s="21">
        <f>B9</f>
        <v>6</v>
      </c>
      <c r="C10" s="22">
        <f>C9</f>
        <v>41162</v>
      </c>
      <c r="D10" s="78" t="str">
        <f t="shared" si="7"/>
        <v>Mon</v>
      </c>
      <c r="E10" s="78">
        <v>1</v>
      </c>
      <c r="F10" s="99" t="s">
        <v>169</v>
      </c>
      <c r="G10" s="29"/>
      <c r="H10" s="30"/>
      <c r="I10" s="30"/>
      <c r="J10" s="30"/>
      <c r="K10" s="36"/>
      <c r="L10" s="36"/>
      <c r="M10" s="36"/>
      <c r="N10" s="46"/>
      <c r="O10" s="31"/>
      <c r="P10" s="38"/>
      <c r="Q10" s="30"/>
      <c r="R10" s="30"/>
      <c r="S10" s="30"/>
      <c r="T10" s="51"/>
      <c r="U10" s="73"/>
      <c r="V10" s="30"/>
      <c r="W10" s="30"/>
      <c r="X10" s="30"/>
      <c r="Y10" s="30"/>
      <c r="Z10" s="29"/>
      <c r="AA10" s="29"/>
      <c r="AB10" s="29"/>
      <c r="AC10" s="68"/>
      <c r="AD10" s="75"/>
    </row>
    <row r="11" spans="1:31" x14ac:dyDescent="0.3">
      <c r="A11" s="150" t="s">
        <v>167</v>
      </c>
      <c r="B11" s="21">
        <v>7</v>
      </c>
      <c r="C11" s="22">
        <v>41163</v>
      </c>
      <c r="D11" s="78" t="str">
        <f t="shared" si="7"/>
        <v>Tue</v>
      </c>
      <c r="E11" s="78">
        <v>2</v>
      </c>
      <c r="F11" s="50" t="s">
        <v>58</v>
      </c>
      <c r="G11" s="29"/>
      <c r="H11" s="30">
        <v>0.35416666666666602</v>
      </c>
      <c r="I11" s="30">
        <v>0</v>
      </c>
      <c r="J11" s="30">
        <f t="shared" si="0"/>
        <v>0.35416666666666602</v>
      </c>
      <c r="K11" s="36">
        <v>560</v>
      </c>
      <c r="L11" s="36">
        <v>1665</v>
      </c>
      <c r="M11" s="36">
        <f t="shared" si="1"/>
        <v>1105</v>
      </c>
      <c r="N11" s="46">
        <v>17.78</v>
      </c>
      <c r="O11" s="49">
        <f t="shared" si="2"/>
        <v>6.2148481439820019E-2</v>
      </c>
      <c r="P11" s="38">
        <v>6.0999999999999999E-2</v>
      </c>
      <c r="Q11" s="30">
        <v>8.3333333333333329E-2</v>
      </c>
      <c r="R11" s="30">
        <f t="shared" si="3"/>
        <v>0.43749999999999933</v>
      </c>
      <c r="S11" s="30">
        <v>2.0833333333333332E-2</v>
      </c>
      <c r="T11" s="51">
        <f t="shared" si="9"/>
        <v>21.22</v>
      </c>
      <c r="U11" s="73">
        <v>39</v>
      </c>
      <c r="V11" s="30">
        <f t="shared" si="4"/>
        <v>0.45833333333333265</v>
      </c>
      <c r="W11" s="30">
        <v>3.8194444444444441E-2</v>
      </c>
      <c r="X11" s="30">
        <f t="shared" si="10"/>
        <v>0.12152777777777776</v>
      </c>
      <c r="Y11" s="30">
        <f t="shared" ref="Y11:Y15" si="12">V11+W11</f>
        <v>0.49652777777777707</v>
      </c>
      <c r="Z11" s="29"/>
      <c r="AA11" s="29">
        <f t="shared" si="11"/>
        <v>0</v>
      </c>
      <c r="AB11" s="29"/>
      <c r="AC11" s="68">
        <f t="shared" si="6"/>
        <v>0.49652777777777707</v>
      </c>
      <c r="AD11" s="75">
        <v>12</v>
      </c>
    </row>
    <row r="12" spans="1:31" x14ac:dyDescent="0.3">
      <c r="A12" s="150" t="s">
        <v>167</v>
      </c>
      <c r="B12" s="21">
        <v>8</v>
      </c>
      <c r="C12" s="22">
        <v>41164</v>
      </c>
      <c r="D12" s="78" t="str">
        <f t="shared" ref="D12:D21" si="13">TEXT(C12,"ddd")</f>
        <v>Wed</v>
      </c>
      <c r="E12" s="78">
        <v>3</v>
      </c>
      <c r="F12" s="50" t="s">
        <v>59</v>
      </c>
      <c r="G12" s="29">
        <v>29.5</v>
      </c>
      <c r="H12" s="30">
        <v>0.35416666666666502</v>
      </c>
      <c r="I12" s="30">
        <v>3.8194444444444441E-2</v>
      </c>
      <c r="J12" s="30">
        <f t="shared" si="0"/>
        <v>0.39236111111110944</v>
      </c>
      <c r="K12" s="36">
        <v>1413</v>
      </c>
      <c r="L12" s="36">
        <v>2642</v>
      </c>
      <c r="M12" s="36">
        <f t="shared" si="1"/>
        <v>1229</v>
      </c>
      <c r="N12" s="46">
        <v>19.52</v>
      </c>
      <c r="O12" s="49">
        <f t="shared" si="2"/>
        <v>6.2961065573770486E-2</v>
      </c>
      <c r="P12" s="38">
        <v>0.12</v>
      </c>
      <c r="Q12" s="30">
        <v>9.7222222222222224E-2</v>
      </c>
      <c r="R12" s="30">
        <f t="shared" si="3"/>
        <v>0.48958333333333165</v>
      </c>
      <c r="S12" s="30">
        <v>2.0833333333333402E-2</v>
      </c>
      <c r="T12" s="51">
        <f t="shared" si="9"/>
        <v>23.080000000000002</v>
      </c>
      <c r="U12" s="73">
        <v>42.6</v>
      </c>
      <c r="V12" s="30">
        <f t="shared" si="4"/>
        <v>0.51041666666666508</v>
      </c>
      <c r="W12" s="30">
        <v>4.1666666666666664E-2</v>
      </c>
      <c r="X12" s="30">
        <f t="shared" si="10"/>
        <v>0.1388888888888889</v>
      </c>
      <c r="Y12" s="30">
        <f t="shared" si="12"/>
        <v>0.55208333333333171</v>
      </c>
      <c r="Z12" s="29"/>
      <c r="AA12" s="29">
        <f t="shared" si="11"/>
        <v>29.5</v>
      </c>
      <c r="AB12" s="29"/>
      <c r="AC12" s="68">
        <f t="shared" si="6"/>
        <v>0.55208333333333171</v>
      </c>
      <c r="AD12" s="75">
        <v>7</v>
      </c>
    </row>
    <row r="13" spans="1:31" x14ac:dyDescent="0.3">
      <c r="A13" s="150" t="s">
        <v>167</v>
      </c>
      <c r="B13" s="21">
        <v>9</v>
      </c>
      <c r="C13" s="22">
        <v>41165</v>
      </c>
      <c r="D13" s="78" t="str">
        <f t="shared" si="13"/>
        <v>Thu</v>
      </c>
      <c r="E13" s="78">
        <v>4</v>
      </c>
      <c r="F13" s="50" t="s">
        <v>64</v>
      </c>
      <c r="G13" s="29"/>
      <c r="H13" s="30">
        <v>0.35416666666666402</v>
      </c>
      <c r="I13" s="30">
        <v>0</v>
      </c>
      <c r="J13" s="30">
        <f t="shared" si="0"/>
        <v>0.35416666666666402</v>
      </c>
      <c r="K13" s="36">
        <v>752</v>
      </c>
      <c r="L13" s="36">
        <v>1780</v>
      </c>
      <c r="M13" s="36">
        <f t="shared" si="1"/>
        <v>1028</v>
      </c>
      <c r="N13" s="46">
        <v>13.2</v>
      </c>
      <c r="O13" s="49">
        <f t="shared" si="2"/>
        <v>7.7878787878787881E-2</v>
      </c>
      <c r="P13" s="38">
        <v>0.106</v>
      </c>
      <c r="Q13" s="30">
        <v>0.1111111111111111</v>
      </c>
      <c r="R13" s="30">
        <f t="shared" si="3"/>
        <v>0.46527777777777513</v>
      </c>
      <c r="S13" s="30">
        <v>2.0833333333333402E-2</v>
      </c>
      <c r="T13" s="44">
        <f t="shared" si="9"/>
        <v>41.8</v>
      </c>
      <c r="U13" s="73">
        <v>55</v>
      </c>
      <c r="V13" s="30">
        <f t="shared" si="4"/>
        <v>0.48611111111110855</v>
      </c>
      <c r="W13" s="30">
        <v>7.9861111111111105E-2</v>
      </c>
      <c r="X13" s="30">
        <f t="shared" si="10"/>
        <v>0.19097222222222221</v>
      </c>
      <c r="Y13" s="30">
        <f t="shared" si="12"/>
        <v>0.56597222222221966</v>
      </c>
      <c r="Z13" s="29"/>
      <c r="AA13" s="29">
        <f t="shared" si="11"/>
        <v>0</v>
      </c>
      <c r="AB13" s="29"/>
      <c r="AC13" s="68">
        <f t="shared" si="6"/>
        <v>0.56597222222221966</v>
      </c>
      <c r="AD13" s="75">
        <v>3</v>
      </c>
    </row>
    <row r="14" spans="1:31" x14ac:dyDescent="0.3">
      <c r="A14" s="150" t="s">
        <v>167</v>
      </c>
      <c r="B14" s="21">
        <v>9</v>
      </c>
      <c r="C14" s="22">
        <f>C15</f>
        <v>41166</v>
      </c>
      <c r="D14" s="78" t="str">
        <f>D15</f>
        <v>Fri</v>
      </c>
      <c r="E14" s="78">
        <v>5</v>
      </c>
      <c r="F14" s="50" t="s">
        <v>170</v>
      </c>
      <c r="G14" s="29"/>
      <c r="H14" s="30">
        <f>H13</f>
        <v>0.35416666666666402</v>
      </c>
      <c r="I14" s="30">
        <v>0</v>
      </c>
      <c r="J14" s="30">
        <v>0.36805555555555558</v>
      </c>
      <c r="K14" s="36">
        <v>780</v>
      </c>
      <c r="L14" s="36">
        <v>1720</v>
      </c>
      <c r="M14" s="36">
        <f t="shared" si="1"/>
        <v>940</v>
      </c>
      <c r="N14" s="46">
        <v>26.5</v>
      </c>
      <c r="O14" s="49">
        <f>M14/(N14*1000)+0.004</f>
        <v>3.9471698113207554E-2</v>
      </c>
      <c r="P14" s="38">
        <v>0.11600000000000001</v>
      </c>
      <c r="Q14" s="30">
        <v>0.12152777777777778</v>
      </c>
      <c r="R14" s="30">
        <f t="shared" si="3"/>
        <v>0.48958333333333337</v>
      </c>
      <c r="S14" s="30">
        <v>2.0833333333333332E-2</v>
      </c>
      <c r="T14" s="44">
        <f t="shared" si="9"/>
        <v>36.5</v>
      </c>
      <c r="U14" s="73">
        <f>(N14*2)+(5*2)</f>
        <v>63</v>
      </c>
      <c r="V14" s="30">
        <f t="shared" si="4"/>
        <v>0.51041666666666674</v>
      </c>
      <c r="W14" s="30">
        <v>3.8194444444444441E-2</v>
      </c>
      <c r="X14" s="30">
        <f t="shared" si="10"/>
        <v>0.15972222222222221</v>
      </c>
      <c r="Y14" s="30">
        <f t="shared" si="12"/>
        <v>0.54861111111111116</v>
      </c>
      <c r="Z14" s="29"/>
      <c r="AA14" s="29"/>
      <c r="AB14" s="29"/>
      <c r="AC14" s="68">
        <f t="shared" si="6"/>
        <v>0.54861111111111116</v>
      </c>
      <c r="AD14" s="75">
        <v>14</v>
      </c>
    </row>
    <row r="15" spans="1:31" x14ac:dyDescent="0.3">
      <c r="A15" s="150" t="s">
        <v>167</v>
      </c>
      <c r="B15" s="21">
        <v>10</v>
      </c>
      <c r="C15" s="22">
        <v>41166</v>
      </c>
      <c r="D15" s="78" t="str">
        <f t="shared" si="13"/>
        <v>Fri</v>
      </c>
      <c r="E15" s="78">
        <v>5</v>
      </c>
      <c r="F15" s="50" t="s">
        <v>60</v>
      </c>
      <c r="G15" s="29"/>
      <c r="H15" s="30">
        <v>0.35416666666666302</v>
      </c>
      <c r="I15" s="30">
        <v>0</v>
      </c>
      <c r="J15" s="30">
        <f t="shared" si="0"/>
        <v>0.35416666666666302</v>
      </c>
      <c r="K15" s="36">
        <v>755</v>
      </c>
      <c r="L15" s="36">
        <v>1721</v>
      </c>
      <c r="M15" s="36">
        <f t="shared" si="1"/>
        <v>966</v>
      </c>
      <c r="N15" s="46">
        <v>13.09</v>
      </c>
      <c r="O15" s="49">
        <f t="shared" si="2"/>
        <v>7.3796791443850263E-2</v>
      </c>
      <c r="P15" s="38">
        <v>8.2000000000000003E-2</v>
      </c>
      <c r="Q15" s="30">
        <v>9.0277777777777776E-2</v>
      </c>
      <c r="R15" s="30">
        <f t="shared" si="3"/>
        <v>0.44444444444444081</v>
      </c>
      <c r="S15" s="30">
        <v>2.0833333333333402E-2</v>
      </c>
      <c r="T15" s="47">
        <f t="shared" si="9"/>
        <v>18.91</v>
      </c>
      <c r="U15" s="73">
        <v>32</v>
      </c>
      <c r="V15" s="30">
        <f t="shared" si="4"/>
        <v>0.46527777777777424</v>
      </c>
      <c r="W15" s="30">
        <v>3.4722222222222224E-2</v>
      </c>
      <c r="X15" s="30">
        <f t="shared" si="10"/>
        <v>0.125</v>
      </c>
      <c r="Y15" s="30">
        <f t="shared" si="12"/>
        <v>0.49999999999999645</v>
      </c>
      <c r="Z15" s="29"/>
      <c r="AA15" s="29">
        <f t="shared" si="11"/>
        <v>0</v>
      </c>
      <c r="AB15" s="29"/>
      <c r="AC15" s="68">
        <f t="shared" si="6"/>
        <v>0.49999999999999645</v>
      </c>
      <c r="AD15" s="75">
        <v>14</v>
      </c>
    </row>
    <row r="16" spans="1:31" x14ac:dyDescent="0.3">
      <c r="A16" s="150" t="s">
        <v>167</v>
      </c>
      <c r="B16" s="21">
        <v>11</v>
      </c>
      <c r="C16" s="22">
        <v>41167</v>
      </c>
      <c r="D16" s="78" t="str">
        <f t="shared" si="13"/>
        <v>Sat</v>
      </c>
      <c r="E16" s="157">
        <v>6</v>
      </c>
      <c r="F16" s="50" t="s">
        <v>62</v>
      </c>
      <c r="G16" s="29">
        <v>7</v>
      </c>
      <c r="H16" s="30">
        <v>0.35416666666666669</v>
      </c>
      <c r="I16" s="30">
        <v>1.0416666666666666E-2</v>
      </c>
      <c r="J16" s="30">
        <f t="shared" si="0"/>
        <v>0.36458333333333337</v>
      </c>
      <c r="K16" s="36">
        <v>430</v>
      </c>
      <c r="L16" s="36">
        <v>1989</v>
      </c>
      <c r="M16" s="36">
        <f t="shared" si="1"/>
        <v>1559</v>
      </c>
      <c r="N16" s="46">
        <v>22.6</v>
      </c>
      <c r="O16" s="49">
        <f t="shared" si="2"/>
        <v>6.8982300884955758E-2</v>
      </c>
      <c r="P16" s="38">
        <v>7.3999999999999996E-2</v>
      </c>
      <c r="Q16" s="30">
        <v>0.1111111111111111</v>
      </c>
      <c r="R16" s="30">
        <f t="shared" si="3"/>
        <v>0.47569444444444448</v>
      </c>
      <c r="S16" s="30">
        <v>2.0833333333333332E-2</v>
      </c>
      <c r="T16" s="51">
        <f t="shared" si="9"/>
        <v>32.4</v>
      </c>
      <c r="U16" s="73">
        <v>55</v>
      </c>
      <c r="V16" s="30">
        <f t="shared" ref="V16" si="14">R16+S16</f>
        <v>0.49652777777777779</v>
      </c>
      <c r="W16" s="30">
        <v>6.5972222222222224E-2</v>
      </c>
      <c r="X16" s="30">
        <f t="shared" si="10"/>
        <v>0.17708333333333331</v>
      </c>
      <c r="Y16" s="30">
        <f t="shared" ref="Y16" si="15">V16+W16</f>
        <v>0.5625</v>
      </c>
      <c r="Z16" s="29"/>
      <c r="AA16" s="29">
        <f>G16+Z16</f>
        <v>7</v>
      </c>
      <c r="AB16" s="43"/>
      <c r="AC16" s="68">
        <f>Y16</f>
        <v>0.5625</v>
      </c>
      <c r="AD16" s="75">
        <v>6</v>
      </c>
    </row>
    <row r="17" spans="1:30" x14ac:dyDescent="0.3">
      <c r="A17" s="150" t="s">
        <v>167</v>
      </c>
      <c r="B17" s="21">
        <f>B16</f>
        <v>11</v>
      </c>
      <c r="C17" s="22">
        <v>41168</v>
      </c>
      <c r="D17" s="78" t="str">
        <f t="shared" si="13"/>
        <v>Sun</v>
      </c>
      <c r="E17" s="78">
        <v>1</v>
      </c>
      <c r="F17" s="99" t="s">
        <v>220</v>
      </c>
      <c r="G17" s="29"/>
      <c r="H17" s="30"/>
      <c r="I17" s="30"/>
      <c r="J17" s="30"/>
      <c r="K17" s="36"/>
      <c r="L17" s="36"/>
      <c r="M17" s="36"/>
      <c r="N17" s="46"/>
      <c r="O17" s="49"/>
      <c r="P17" s="38"/>
      <c r="Q17" s="30"/>
      <c r="R17" s="30"/>
      <c r="S17" s="30"/>
      <c r="T17" s="51"/>
      <c r="U17" s="73"/>
      <c r="V17" s="30"/>
      <c r="W17" s="30"/>
      <c r="X17" s="30"/>
      <c r="Y17" s="30"/>
      <c r="Z17" s="29"/>
      <c r="AA17" s="29"/>
      <c r="AB17" s="43"/>
      <c r="AC17" s="68"/>
      <c r="AD17" s="75"/>
    </row>
    <row r="18" spans="1:30" x14ac:dyDescent="0.3">
      <c r="A18" s="151" t="s">
        <v>168</v>
      </c>
      <c r="B18" s="21">
        <v>12</v>
      </c>
      <c r="C18" s="22">
        <v>41168</v>
      </c>
      <c r="D18" s="78" t="str">
        <f t="shared" si="13"/>
        <v>Sun</v>
      </c>
      <c r="E18" s="78">
        <v>1</v>
      </c>
      <c r="F18" s="50" t="s">
        <v>44</v>
      </c>
      <c r="G18" s="29">
        <v>35</v>
      </c>
      <c r="H18" s="30">
        <v>0.35416666666666669</v>
      </c>
      <c r="I18" s="30">
        <v>4.1666666666666664E-2</v>
      </c>
      <c r="J18" s="30">
        <f t="shared" si="0"/>
        <v>0.39583333333333337</v>
      </c>
      <c r="K18" s="36">
        <v>290</v>
      </c>
      <c r="L18" s="36">
        <v>1912</v>
      </c>
      <c r="M18" s="36">
        <f t="shared" si="1"/>
        <v>1622</v>
      </c>
      <c r="N18" s="46">
        <v>22.7</v>
      </c>
      <c r="O18" s="31">
        <f t="shared" si="2"/>
        <v>7.1453744493392077E-2</v>
      </c>
      <c r="P18" s="38">
        <v>0.11</v>
      </c>
      <c r="Q18" s="30">
        <v>0.125</v>
      </c>
      <c r="R18" s="30">
        <f t="shared" si="3"/>
        <v>0.52083333333333337</v>
      </c>
      <c r="S18" s="30">
        <v>2.0833333333333332E-2</v>
      </c>
      <c r="T18" s="32">
        <f>N20</f>
        <v>25.7</v>
      </c>
      <c r="U18" s="73">
        <f>N18+T18</f>
        <v>48.4</v>
      </c>
      <c r="V18" s="30">
        <f>R18+S18</f>
        <v>0.54166666666666674</v>
      </c>
      <c r="W18" s="30">
        <v>3.125E-2</v>
      </c>
      <c r="X18" s="30">
        <f t="shared" si="10"/>
        <v>0.15625</v>
      </c>
      <c r="Y18" s="30">
        <f>V18+W18</f>
        <v>0.57291666666666674</v>
      </c>
      <c r="Z18" s="29"/>
      <c r="AA18" s="29">
        <f>G18+Z18</f>
        <v>35</v>
      </c>
      <c r="AB18" s="43"/>
      <c r="AC18" s="68">
        <f t="shared" ref="AC18:AC19" si="16">Y18</f>
        <v>0.57291666666666674</v>
      </c>
      <c r="AD18" s="75">
        <v>2</v>
      </c>
    </row>
    <row r="19" spans="1:30" x14ac:dyDescent="0.3">
      <c r="A19" s="151" t="s">
        <v>168</v>
      </c>
      <c r="B19" s="21">
        <v>13</v>
      </c>
      <c r="C19" s="22">
        <v>41169</v>
      </c>
      <c r="D19" s="78" t="str">
        <f t="shared" si="13"/>
        <v>Mon</v>
      </c>
      <c r="E19" s="78">
        <v>2</v>
      </c>
      <c r="F19" s="50" t="s">
        <v>45</v>
      </c>
      <c r="G19" s="29">
        <v>47</v>
      </c>
      <c r="H19" s="30">
        <v>0.35416666666666669</v>
      </c>
      <c r="I19" s="30">
        <v>5.5555555555555552E-2</v>
      </c>
      <c r="J19" s="30">
        <f t="shared" si="0"/>
        <v>0.40972222222222221</v>
      </c>
      <c r="K19" s="36">
        <v>377</v>
      </c>
      <c r="L19" s="36">
        <v>1912</v>
      </c>
      <c r="M19" s="36">
        <f t="shared" ref="M19:M20" si="17">L19-K19</f>
        <v>1535</v>
      </c>
      <c r="N19" s="46">
        <v>21.2</v>
      </c>
      <c r="O19" s="31">
        <f t="shared" si="2"/>
        <v>7.2405660377358488E-2</v>
      </c>
      <c r="P19" s="38">
        <v>0.12</v>
      </c>
      <c r="Q19" s="30">
        <v>0.125</v>
      </c>
      <c r="R19" s="30">
        <f t="shared" ref="R19:R20" si="18">J19+Q19</f>
        <v>0.53472222222222221</v>
      </c>
      <c r="S19" s="30">
        <v>2.0833333333333332E-2</v>
      </c>
      <c r="T19" s="32">
        <f>N18</f>
        <v>22.7</v>
      </c>
      <c r="U19" s="73">
        <f t="shared" ref="U19:U20" si="19">N19+T19</f>
        <v>43.9</v>
      </c>
      <c r="V19" s="30">
        <f t="shared" ref="V19:V20" si="20">R19+S19</f>
        <v>0.55555555555555558</v>
      </c>
      <c r="W19" s="30">
        <v>7.2916666666666671E-2</v>
      </c>
      <c r="X19" s="30">
        <f t="shared" si="10"/>
        <v>0.19791666666666669</v>
      </c>
      <c r="Y19" s="30">
        <f t="shared" ref="Y19:Y20" si="21">V19+W19</f>
        <v>0.62847222222222221</v>
      </c>
      <c r="Z19" s="29">
        <f>G18</f>
        <v>35</v>
      </c>
      <c r="AA19" s="29">
        <f>G19+Z19</f>
        <v>82</v>
      </c>
      <c r="AB19" s="43"/>
      <c r="AC19" s="68">
        <f t="shared" si="16"/>
        <v>0.62847222222222221</v>
      </c>
      <c r="AD19" s="75">
        <v>4</v>
      </c>
    </row>
    <row r="20" spans="1:30" x14ac:dyDescent="0.3">
      <c r="A20" s="151" t="s">
        <v>168</v>
      </c>
      <c r="B20" s="21">
        <v>14</v>
      </c>
      <c r="C20" s="22">
        <v>41170</v>
      </c>
      <c r="D20" s="78" t="str">
        <f t="shared" si="13"/>
        <v>Tue</v>
      </c>
      <c r="E20" s="157">
        <v>3</v>
      </c>
      <c r="F20" s="50" t="s">
        <v>46</v>
      </c>
      <c r="G20" s="57"/>
      <c r="H20" s="30">
        <v>0.35416666666666669</v>
      </c>
      <c r="I20" s="30">
        <v>0</v>
      </c>
      <c r="J20" s="30">
        <f t="shared" si="0"/>
        <v>0.35416666666666669</v>
      </c>
      <c r="K20" s="36">
        <v>760</v>
      </c>
      <c r="L20" s="36">
        <v>1912</v>
      </c>
      <c r="M20" s="58">
        <f t="shared" si="17"/>
        <v>1152</v>
      </c>
      <c r="N20" s="59">
        <v>25.7</v>
      </c>
      <c r="O20" s="31">
        <f t="shared" si="2"/>
        <v>4.4824902723735412E-2</v>
      </c>
      <c r="P20" s="38">
        <v>0.11</v>
      </c>
      <c r="Q20" s="60">
        <v>0.1111111111111111</v>
      </c>
      <c r="R20" s="30">
        <f t="shared" si="18"/>
        <v>0.46527777777777779</v>
      </c>
      <c r="S20" s="30">
        <v>2.0833333333333332E-2</v>
      </c>
      <c r="T20" s="32">
        <f>N20</f>
        <v>25.7</v>
      </c>
      <c r="U20" s="74">
        <f t="shared" si="19"/>
        <v>51.4</v>
      </c>
      <c r="V20" s="30">
        <f t="shared" si="20"/>
        <v>0.4861111111111111</v>
      </c>
      <c r="W20" s="30">
        <v>3.125E-2</v>
      </c>
      <c r="X20" s="60">
        <f t="shared" si="10"/>
        <v>0.1423611111111111</v>
      </c>
      <c r="Y20" s="30">
        <f t="shared" si="21"/>
        <v>0.51736111111111116</v>
      </c>
      <c r="Z20" s="57"/>
      <c r="AA20" s="57">
        <f>G20+Z20</f>
        <v>0</v>
      </c>
      <c r="AB20" s="61"/>
      <c r="AC20" s="68">
        <f>Y20</f>
        <v>0.51736111111111116</v>
      </c>
      <c r="AD20" s="75">
        <v>5</v>
      </c>
    </row>
    <row r="21" spans="1:30" x14ac:dyDescent="0.3">
      <c r="A21" s="23"/>
      <c r="B21" s="23"/>
      <c r="C21" s="22">
        <v>41171</v>
      </c>
      <c r="D21" s="78" t="str">
        <f t="shared" si="13"/>
        <v>Wed</v>
      </c>
      <c r="E21" s="78"/>
      <c r="F21" s="185" t="s">
        <v>221</v>
      </c>
      <c r="G21" s="37">
        <f>SUM(G4:G20)</f>
        <v>173.1</v>
      </c>
      <c r="H21" s="24"/>
      <c r="I21" s="24"/>
      <c r="J21" s="24"/>
      <c r="K21" s="23"/>
      <c r="L21" s="23"/>
      <c r="M21" s="77">
        <f>SUM(M4:M20)</f>
        <v>19452</v>
      </c>
      <c r="N21" s="45">
        <f>SUM(N4:N20)</f>
        <v>308.77</v>
      </c>
      <c r="O21" s="23"/>
      <c r="P21" s="27" t="s">
        <v>52</v>
      </c>
      <c r="Q21" s="109">
        <f>SUM(Q4:Q20)</f>
        <v>1.6145833333333333</v>
      </c>
      <c r="R21" s="23"/>
      <c r="S21" s="23"/>
      <c r="T21" s="28"/>
      <c r="U21" s="72">
        <f>SUM(U4:U20)</f>
        <v>705.43</v>
      </c>
      <c r="V21" s="23"/>
      <c r="W21" s="23"/>
      <c r="X21" s="76">
        <f>SUM(X4:X20)</f>
        <v>2.3125</v>
      </c>
      <c r="Y21" s="23"/>
      <c r="Z21" s="39">
        <f>SUM(Z4:Z20)</f>
        <v>60.6</v>
      </c>
      <c r="AA21" s="39">
        <f>SUM(AA4:AA20)</f>
        <v>233.7</v>
      </c>
      <c r="AB21" s="52">
        <v>3.8194444444444441E-2</v>
      </c>
    </row>
    <row r="22" spans="1:30" x14ac:dyDescent="0.3">
      <c r="B22" s="23"/>
      <c r="C22" s="23"/>
      <c r="D22" s="23"/>
      <c r="E22" s="23"/>
      <c r="F22" s="23"/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4"/>
      <c r="R22" s="23"/>
      <c r="S22" s="23"/>
      <c r="T22" s="28"/>
      <c r="U22" s="70"/>
      <c r="V22" s="23"/>
      <c r="W22" s="23"/>
      <c r="X22" s="23"/>
      <c r="Y22" s="23"/>
      <c r="Z22" s="40"/>
      <c r="AA22" s="41">
        <f>G21+Z21</f>
        <v>233.7</v>
      </c>
    </row>
    <row r="23" spans="1:30" x14ac:dyDescent="0.3">
      <c r="B23" s="23"/>
      <c r="C23" s="23"/>
      <c r="D23" s="23"/>
      <c r="E23" s="23"/>
      <c r="F23" s="23"/>
      <c r="G23" s="23"/>
      <c r="H23" s="24"/>
      <c r="I23" s="24"/>
      <c r="J23" s="24"/>
      <c r="K23" s="23"/>
      <c r="L23" s="23"/>
      <c r="M23" s="23"/>
      <c r="N23" s="23"/>
      <c r="O23" s="23"/>
      <c r="P23" s="23"/>
      <c r="Q23" s="24"/>
      <c r="R23" s="23"/>
      <c r="S23" s="23"/>
      <c r="T23" s="23"/>
      <c r="U23" s="71"/>
      <c r="V23" s="23"/>
      <c r="W23" s="23"/>
      <c r="X23" s="23"/>
      <c r="Y23" s="23"/>
      <c r="Z23" s="23"/>
      <c r="AA23" s="23"/>
    </row>
    <row r="24" spans="1:30" x14ac:dyDescent="0.3">
      <c r="B24" s="23"/>
      <c r="C24" s="23"/>
      <c r="D24" s="23"/>
      <c r="E24" s="23"/>
      <c r="F24" s="23"/>
      <c r="G24" s="23"/>
      <c r="H24" s="24"/>
      <c r="I24" s="24"/>
      <c r="J24" s="24"/>
      <c r="K24" s="23"/>
      <c r="L24" s="23"/>
      <c r="M24" s="23"/>
      <c r="N24" s="23"/>
      <c r="O24" s="23"/>
      <c r="P24" s="23"/>
      <c r="Q24" s="24"/>
      <c r="R24" s="23"/>
      <c r="S24" s="23"/>
      <c r="T24" s="23"/>
      <c r="U24" s="71"/>
      <c r="V24" s="23"/>
      <c r="W24" s="23"/>
      <c r="X24" s="23"/>
      <c r="Y24" s="23"/>
      <c r="Z24" s="23"/>
      <c r="AA24" s="23"/>
    </row>
    <row r="25" spans="1:30" x14ac:dyDescent="0.3">
      <c r="B25" s="23"/>
      <c r="C25" s="23"/>
      <c r="D25" s="23"/>
      <c r="E25" s="23"/>
      <c r="F25" s="96">
        <v>3.28084</v>
      </c>
      <c r="G25" s="23" t="s">
        <v>86</v>
      </c>
      <c r="H25" s="24"/>
      <c r="I25" s="24"/>
      <c r="J25" s="24"/>
      <c r="K25" s="23"/>
      <c r="L25" s="23"/>
      <c r="M25" s="23"/>
      <c r="N25" s="23"/>
      <c r="O25" s="23"/>
      <c r="P25" s="23"/>
      <c r="Q25" s="24"/>
      <c r="R25" s="23"/>
      <c r="S25" s="23"/>
      <c r="T25" s="23"/>
      <c r="U25" s="71"/>
      <c r="V25" s="23"/>
      <c r="W25" s="23"/>
      <c r="X25" s="23"/>
      <c r="Y25" s="23"/>
      <c r="Z25" s="23"/>
      <c r="AA25" s="23"/>
    </row>
    <row r="26" spans="1:30" x14ac:dyDescent="0.3">
      <c r="B26" s="23"/>
      <c r="C26" s="23"/>
      <c r="D26" s="23"/>
      <c r="E26" s="23"/>
      <c r="F26" s="97">
        <f>L6*F25</f>
        <v>8667.9792799999996</v>
      </c>
      <c r="G26" s="23" t="s">
        <v>85</v>
      </c>
      <c r="H26" s="24" t="s">
        <v>87</v>
      </c>
      <c r="I26" s="24"/>
      <c r="J26" s="24"/>
      <c r="K26" s="23"/>
      <c r="L26" s="23"/>
      <c r="M26" s="23"/>
      <c r="N26" s="23"/>
      <c r="O26" s="23"/>
      <c r="P26" s="23"/>
      <c r="Q26" s="24"/>
      <c r="R26" s="23"/>
      <c r="S26" s="23"/>
      <c r="T26" s="23"/>
      <c r="U26" s="71"/>
      <c r="V26" s="23"/>
      <c r="W26" s="23"/>
      <c r="X26" s="23"/>
      <c r="Y26" s="23"/>
      <c r="Z26" s="23"/>
      <c r="AA26" s="23"/>
    </row>
    <row r="27" spans="1:30" x14ac:dyDescent="0.3">
      <c r="B27" s="23"/>
      <c r="C27" s="23"/>
      <c r="D27" s="23"/>
      <c r="E27" s="23"/>
      <c r="F27" s="23"/>
      <c r="G27" s="23"/>
      <c r="H27" s="24"/>
      <c r="I27" s="24"/>
      <c r="J27" s="24"/>
      <c r="K27" s="23"/>
      <c r="L27" s="23"/>
      <c r="M27" s="23"/>
      <c r="N27" s="23"/>
      <c r="O27" s="23"/>
      <c r="P27" s="23"/>
      <c r="Q27" s="24"/>
      <c r="R27" s="23"/>
      <c r="S27" s="23"/>
      <c r="T27" s="23"/>
      <c r="U27" s="71"/>
      <c r="V27" s="23"/>
      <c r="W27" s="23"/>
      <c r="X27" s="23"/>
      <c r="Y27" s="23"/>
      <c r="Z27" s="23"/>
      <c r="AA27" s="23"/>
    </row>
    <row r="28" spans="1:30" x14ac:dyDescent="0.3">
      <c r="B28" s="23"/>
      <c r="C28" s="23"/>
      <c r="D28" s="23"/>
      <c r="E28" s="23"/>
      <c r="F28" s="23"/>
      <c r="G28" s="23"/>
      <c r="H28" s="24"/>
      <c r="I28" s="24"/>
      <c r="J28" s="24"/>
      <c r="K28" s="23"/>
      <c r="L28" s="23"/>
      <c r="M28" s="23"/>
      <c r="N28" s="23"/>
      <c r="O28" s="23"/>
      <c r="P28" s="23"/>
      <c r="Q28" s="24"/>
      <c r="R28" s="23"/>
      <c r="S28" s="23"/>
      <c r="T28" s="23"/>
      <c r="U28" s="71"/>
      <c r="V28" s="23"/>
      <c r="W28" s="23"/>
      <c r="X28" s="23"/>
      <c r="Y28" s="23"/>
      <c r="Z28" s="23"/>
      <c r="AA28" s="23"/>
    </row>
  </sheetData>
  <hyperlinks>
    <hyperlink ref="F12" r:id="rId1"/>
    <hyperlink ref="F15" r:id="rId2" display="Mont\2ndBC-LeBourg_d'Oisan\Villard Reymond\villard_reymond.htm"/>
    <hyperlink ref="F4" r:id="rId3"/>
    <hyperlink ref="F20" r:id="rId4"/>
    <hyperlink ref="F19" r:id="rId5"/>
    <hyperlink ref="F18" r:id="rId6"/>
    <hyperlink ref="F16" r:id="rId7" display="Col de Sarenne descending Alpe d'Huez"/>
    <hyperlink ref="F11" r:id="rId8"/>
    <hyperlink ref="F13" r:id="rId9" display="Bourg d'Oisans to Alpe d'Huez return down Col de Sarenne"/>
    <hyperlink ref="F5" r:id="rId10"/>
    <hyperlink ref="F6" r:id="rId11"/>
    <hyperlink ref="F7" r:id="rId12"/>
    <hyperlink ref="F8" r:id="rId13"/>
    <hyperlink ref="F9" r:id="rId14" display=" Les Karellis -up 'n back down"/>
    <hyperlink ref="A3" r:id="rId15"/>
    <hyperlink ref="A4" r:id="rId16"/>
    <hyperlink ref="A5:A9" r:id="rId17" display="1st"/>
    <hyperlink ref="F14" r:id="rId18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1" orientation="landscape" horizontalDpi="0" verticalDpi="0"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workbookViewId="0">
      <selection activeCell="D6" sqref="D6"/>
    </sheetView>
  </sheetViews>
  <sheetFormatPr defaultRowHeight="12.75" x14ac:dyDescent="0.2"/>
  <cols>
    <col min="1" max="1" width="4.140625" style="69" customWidth="1"/>
    <col min="2" max="2" width="9.42578125" style="69" customWidth="1"/>
    <col min="3" max="3" width="6.5703125" style="69" customWidth="1"/>
    <col min="9" max="9" width="3.42578125" customWidth="1"/>
    <col min="11" max="11" width="2.140625" customWidth="1"/>
    <col min="16" max="16" width="3.140625" customWidth="1"/>
  </cols>
  <sheetData>
    <row r="2" spans="1:16" ht="15.75" x14ac:dyDescent="0.25">
      <c r="B2" s="86" t="s">
        <v>93</v>
      </c>
    </row>
    <row r="4" spans="1:16" x14ac:dyDescent="0.2">
      <c r="A4" s="69">
        <v>1</v>
      </c>
      <c r="B4" s="98">
        <f>B5-1</f>
        <v>41156</v>
      </c>
      <c r="C4" s="98" t="str">
        <f>TEXT(B4,"ddd")</f>
        <v>Tue</v>
      </c>
      <c r="D4" t="s">
        <v>201</v>
      </c>
    </row>
    <row r="5" spans="1:16" x14ac:dyDescent="0.2">
      <c r="A5" s="69">
        <v>2</v>
      </c>
      <c r="B5" s="98">
        <f>'14 days Climb Stats'!C4</f>
        <v>41157</v>
      </c>
      <c r="C5" s="98" t="str">
        <f>TEXT(B5,"ddd")</f>
        <v>Wed</v>
      </c>
      <c r="D5" t="s">
        <v>216</v>
      </c>
      <c r="P5" s="69">
        <v>1</v>
      </c>
    </row>
    <row r="6" spans="1:16" x14ac:dyDescent="0.2">
      <c r="A6" s="69">
        <v>3</v>
      </c>
      <c r="B6" s="98">
        <f>'14 days Climb Stats'!C5</f>
        <v>41158</v>
      </c>
      <c r="C6" s="98" t="str">
        <f t="shared" ref="C6:C22" si="0">TEXT(B6,"ddd")</f>
        <v>Thu</v>
      </c>
      <c r="D6" t="s">
        <v>88</v>
      </c>
      <c r="P6" s="69">
        <v>2</v>
      </c>
    </row>
    <row r="7" spans="1:16" x14ac:dyDescent="0.2">
      <c r="A7" s="69">
        <v>4</v>
      </c>
      <c r="B7" s="98">
        <f>'14 days Climb Stats'!C6</f>
        <v>41159</v>
      </c>
      <c r="C7" s="98" t="str">
        <f t="shared" si="0"/>
        <v>Fri</v>
      </c>
      <c r="D7" t="s">
        <v>88</v>
      </c>
      <c r="P7" s="69">
        <v>3</v>
      </c>
    </row>
    <row r="8" spans="1:16" x14ac:dyDescent="0.2">
      <c r="A8" s="69">
        <v>5</v>
      </c>
      <c r="B8" s="98">
        <f>'14 days Climb Stats'!C7</f>
        <v>41160</v>
      </c>
      <c r="C8" s="98" t="str">
        <f t="shared" si="0"/>
        <v>Sat</v>
      </c>
      <c r="D8" t="s">
        <v>88</v>
      </c>
      <c r="P8" s="69">
        <v>4</v>
      </c>
    </row>
    <row r="9" spans="1:16" x14ac:dyDescent="0.2">
      <c r="A9" s="69">
        <v>6</v>
      </c>
      <c r="B9" s="98">
        <f>'14 days Climb Stats'!C8</f>
        <v>41161</v>
      </c>
      <c r="C9" s="98" t="str">
        <f t="shared" si="0"/>
        <v>Sun</v>
      </c>
      <c r="D9" t="s">
        <v>88</v>
      </c>
      <c r="P9" s="69">
        <v>5</v>
      </c>
    </row>
    <row r="10" spans="1:16" x14ac:dyDescent="0.2">
      <c r="A10" s="69">
        <v>7</v>
      </c>
      <c r="B10" s="98">
        <f>'14 days Climb Stats'!C9</f>
        <v>41162</v>
      </c>
      <c r="C10" s="98" t="str">
        <f t="shared" si="0"/>
        <v>Mon</v>
      </c>
      <c r="D10" t="s">
        <v>88</v>
      </c>
      <c r="P10" s="69">
        <v>6</v>
      </c>
    </row>
    <row r="11" spans="1:16" x14ac:dyDescent="0.2">
      <c r="A11" s="69">
        <v>8</v>
      </c>
      <c r="B11" s="98">
        <f>'14 days Climb Stats'!C11</f>
        <v>41163</v>
      </c>
      <c r="C11" s="98" t="str">
        <f t="shared" si="0"/>
        <v>Tue</v>
      </c>
      <c r="D11" t="s">
        <v>88</v>
      </c>
      <c r="P11" s="69">
        <v>7</v>
      </c>
    </row>
    <row r="12" spans="1:16" x14ac:dyDescent="0.2">
      <c r="A12" s="69">
        <v>9</v>
      </c>
      <c r="B12" s="98">
        <f>'14 days Climb Stats'!C12</f>
        <v>41164</v>
      </c>
      <c r="C12" s="98" t="str">
        <f t="shared" si="0"/>
        <v>Wed</v>
      </c>
      <c r="D12" t="s">
        <v>88</v>
      </c>
      <c r="P12" s="69">
        <v>8</v>
      </c>
    </row>
    <row r="13" spans="1:16" x14ac:dyDescent="0.2">
      <c r="A13" s="69">
        <v>10</v>
      </c>
      <c r="B13" s="98">
        <f>'14 days Climb Stats'!C13</f>
        <v>41165</v>
      </c>
      <c r="C13" s="98" t="str">
        <f t="shared" si="0"/>
        <v>Thu</v>
      </c>
      <c r="D13" t="s">
        <v>88</v>
      </c>
      <c r="P13" s="69">
        <v>9</v>
      </c>
    </row>
    <row r="14" spans="1:16" x14ac:dyDescent="0.2">
      <c r="A14" s="69">
        <v>11</v>
      </c>
      <c r="B14" s="98">
        <f>'14 days Climb Stats'!C15</f>
        <v>41166</v>
      </c>
      <c r="C14" s="98" t="str">
        <f t="shared" si="0"/>
        <v>Fri</v>
      </c>
      <c r="D14" t="s">
        <v>88</v>
      </c>
      <c r="P14" s="69">
        <v>10</v>
      </c>
    </row>
    <row r="15" spans="1:16" x14ac:dyDescent="0.2">
      <c r="A15" s="69">
        <v>12</v>
      </c>
      <c r="B15" s="98">
        <f>'14 days Climb Stats'!C16</f>
        <v>41167</v>
      </c>
      <c r="C15" s="98" t="str">
        <f t="shared" si="0"/>
        <v>Sat</v>
      </c>
      <c r="D15" t="s">
        <v>88</v>
      </c>
      <c r="P15" s="69">
        <v>11</v>
      </c>
    </row>
    <row r="16" spans="1:16" x14ac:dyDescent="0.2">
      <c r="A16" s="69">
        <v>13</v>
      </c>
      <c r="B16" s="98">
        <f>'14 days Climb Stats'!C18</f>
        <v>41168</v>
      </c>
      <c r="C16" s="98" t="str">
        <f t="shared" si="0"/>
        <v>Sun</v>
      </c>
      <c r="D16" t="s">
        <v>88</v>
      </c>
      <c r="P16" s="69">
        <v>12</v>
      </c>
    </row>
    <row r="17" spans="1:16" x14ac:dyDescent="0.2">
      <c r="A17" s="69">
        <v>14</v>
      </c>
      <c r="B17" s="98">
        <f>'14 days Climb Stats'!C19</f>
        <v>41169</v>
      </c>
      <c r="C17" s="98" t="str">
        <f t="shared" si="0"/>
        <v>Mon</v>
      </c>
      <c r="D17" t="s">
        <v>88</v>
      </c>
      <c r="P17" s="69">
        <v>13</v>
      </c>
    </row>
    <row r="18" spans="1:16" x14ac:dyDescent="0.2">
      <c r="A18" s="69">
        <v>15</v>
      </c>
      <c r="B18" s="98">
        <f>'14 days Climb Stats'!C20</f>
        <v>41170</v>
      </c>
      <c r="C18" s="98" t="str">
        <f t="shared" si="0"/>
        <v>Tue</v>
      </c>
      <c r="D18" t="s">
        <v>88</v>
      </c>
      <c r="P18" s="69">
        <v>14</v>
      </c>
    </row>
    <row r="19" spans="1:16" x14ac:dyDescent="0.2">
      <c r="A19" s="69">
        <v>16</v>
      </c>
      <c r="B19" s="98">
        <f>B18+1</f>
        <v>41171</v>
      </c>
      <c r="C19" s="98" t="str">
        <f t="shared" si="0"/>
        <v>Wed</v>
      </c>
      <c r="D19" t="s">
        <v>89</v>
      </c>
      <c r="K19">
        <v>1</v>
      </c>
    </row>
    <row r="20" spans="1:16" x14ac:dyDescent="0.2">
      <c r="A20" s="69">
        <v>17</v>
      </c>
      <c r="B20" s="98">
        <f>B19+1</f>
        <v>41172</v>
      </c>
      <c r="C20" s="98" t="str">
        <f t="shared" si="0"/>
        <v>Thu</v>
      </c>
      <c r="D20" t="s">
        <v>90</v>
      </c>
      <c r="K20">
        <v>1</v>
      </c>
    </row>
    <row r="21" spans="1:16" x14ac:dyDescent="0.2">
      <c r="A21" s="69">
        <v>18</v>
      </c>
      <c r="B21" s="98">
        <f>B20+1</f>
        <v>41173</v>
      </c>
      <c r="C21" s="98" t="str">
        <f t="shared" si="0"/>
        <v>Fri</v>
      </c>
      <c r="D21" t="s">
        <v>91</v>
      </c>
      <c r="K21">
        <v>2</v>
      </c>
    </row>
    <row r="22" spans="1:16" x14ac:dyDescent="0.2">
      <c r="A22" s="69">
        <v>19</v>
      </c>
      <c r="B22" s="98">
        <f>B21+1</f>
        <v>41174</v>
      </c>
      <c r="C22" s="98" t="str">
        <f t="shared" si="0"/>
        <v>Sat</v>
      </c>
      <c r="D22" t="s">
        <v>92</v>
      </c>
    </row>
    <row r="23" spans="1:16" x14ac:dyDescent="0.2">
      <c r="B23" s="98" t="s">
        <v>52</v>
      </c>
      <c r="C23" s="98" t="s">
        <v>52</v>
      </c>
    </row>
    <row r="24" spans="1:16" x14ac:dyDescent="0.2">
      <c r="B24" s="98" t="s">
        <v>52</v>
      </c>
      <c r="C24" s="98" t="s">
        <v>52</v>
      </c>
    </row>
    <row r="25" spans="1:16" x14ac:dyDescent="0.2">
      <c r="B25" s="98" t="s">
        <v>52</v>
      </c>
      <c r="C25" s="98" t="s">
        <v>52</v>
      </c>
    </row>
    <row r="26" spans="1:16" x14ac:dyDescent="0.2">
      <c r="B26" s="98" t="s">
        <v>52</v>
      </c>
      <c r="C26" s="98" t="s">
        <v>52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topLeftCell="A14" workbookViewId="0">
      <selection activeCell="A48" sqref="A48"/>
    </sheetView>
  </sheetViews>
  <sheetFormatPr defaultRowHeight="12.75" x14ac:dyDescent="0.2"/>
  <cols>
    <col min="4" max="4" width="89.85546875" customWidth="1"/>
    <col min="5" max="7" width="9.85546875" customWidth="1"/>
    <col min="8" max="8" width="9.28515625" customWidth="1"/>
    <col min="9" max="9" width="10" bestFit="1" customWidth="1"/>
  </cols>
  <sheetData>
    <row r="1" spans="1:9" ht="15.75" x14ac:dyDescent="0.25">
      <c r="A1" s="86" t="s">
        <v>94</v>
      </c>
    </row>
    <row r="2" spans="1:9" ht="15.75" x14ac:dyDescent="0.25">
      <c r="A2" s="86" t="s">
        <v>222</v>
      </c>
    </row>
    <row r="3" spans="1:9" ht="15.75" x14ac:dyDescent="0.25">
      <c r="A3" s="86"/>
    </row>
    <row r="4" spans="1:9" x14ac:dyDescent="0.2">
      <c r="A4" s="91" t="s">
        <v>81</v>
      </c>
      <c r="B4" s="92"/>
      <c r="C4" s="92"/>
      <c r="D4" s="92"/>
    </row>
    <row r="5" spans="1:9" x14ac:dyDescent="0.2">
      <c r="A5" s="94"/>
      <c r="B5" s="95"/>
      <c r="C5" s="95"/>
      <c r="D5" s="95"/>
    </row>
    <row r="6" spans="1:9" x14ac:dyDescent="0.2">
      <c r="A6" s="88" t="s">
        <v>75</v>
      </c>
      <c r="B6" s="88"/>
      <c r="C6" s="88"/>
      <c r="D6" s="89">
        <v>0.79</v>
      </c>
      <c r="I6" t="s">
        <v>71</v>
      </c>
    </row>
    <row r="7" spans="1:9" x14ac:dyDescent="0.2">
      <c r="E7" s="82" t="s">
        <v>72</v>
      </c>
      <c r="F7" s="83">
        <v>18</v>
      </c>
      <c r="G7" s="90" t="s">
        <v>73</v>
      </c>
      <c r="H7" s="83">
        <f>F7</f>
        <v>18</v>
      </c>
      <c r="I7" s="82" t="s">
        <v>73</v>
      </c>
    </row>
    <row r="8" spans="1:9" x14ac:dyDescent="0.2">
      <c r="A8" t="s">
        <v>78</v>
      </c>
      <c r="I8" s="85">
        <v>2200</v>
      </c>
    </row>
    <row r="10" spans="1:9" x14ac:dyDescent="0.2">
      <c r="A10" t="s">
        <v>74</v>
      </c>
      <c r="E10" s="79">
        <v>40</v>
      </c>
      <c r="F10" s="80">
        <f>F7*E10</f>
        <v>720</v>
      </c>
      <c r="G10" s="80"/>
      <c r="H10" s="81">
        <f>F10/$D$6</f>
        <v>911.39240506329111</v>
      </c>
      <c r="I10" s="81">
        <f>H10</f>
        <v>911.39240506329111</v>
      </c>
    </row>
    <row r="12" spans="1:9" x14ac:dyDescent="0.2">
      <c r="A12" t="s">
        <v>202</v>
      </c>
      <c r="E12" s="80">
        <v>112</v>
      </c>
      <c r="F12" s="80">
        <f>E12</f>
        <v>112</v>
      </c>
      <c r="G12" s="80"/>
      <c r="H12" s="81">
        <f>F12/$D$6</f>
        <v>141.77215189873417</v>
      </c>
      <c r="I12" s="81">
        <f>H12</f>
        <v>141.77215189873417</v>
      </c>
    </row>
    <row r="14" spans="1:9" x14ac:dyDescent="0.2">
      <c r="A14" t="s">
        <v>80</v>
      </c>
      <c r="H14" s="84">
        <v>177</v>
      </c>
      <c r="I14" s="81">
        <f>H14</f>
        <v>177</v>
      </c>
    </row>
    <row r="16" spans="1:9" x14ac:dyDescent="0.2">
      <c r="A16" s="50" t="s">
        <v>79</v>
      </c>
      <c r="E16" s="80">
        <v>1028</v>
      </c>
      <c r="F16" s="80">
        <f>E16/5</f>
        <v>205.6</v>
      </c>
      <c r="G16" s="81">
        <v>1263</v>
      </c>
      <c r="H16" s="81">
        <f>G16/5</f>
        <v>252.6</v>
      </c>
      <c r="I16" s="81">
        <f>H16</f>
        <v>252.6</v>
      </c>
    </row>
    <row r="18" spans="1:9" x14ac:dyDescent="0.2">
      <c r="A18" t="s">
        <v>76</v>
      </c>
      <c r="E18" s="80">
        <v>40</v>
      </c>
      <c r="F18" s="80">
        <f>E18*F7</f>
        <v>720</v>
      </c>
      <c r="G18" s="80"/>
      <c r="H18" s="81">
        <f>F18/$D$6</f>
        <v>911.39240506329111</v>
      </c>
      <c r="I18" s="81">
        <f>H18</f>
        <v>911.39240506329111</v>
      </c>
    </row>
    <row r="20" spans="1:9" x14ac:dyDescent="0.2">
      <c r="A20" t="s">
        <v>77</v>
      </c>
      <c r="E20" s="80">
        <f>E18/2</f>
        <v>20</v>
      </c>
      <c r="F20" s="80">
        <f>E20*F7</f>
        <v>360</v>
      </c>
      <c r="G20" s="80"/>
      <c r="H20" s="81">
        <f>F20/$D$6</f>
        <v>455.69620253164555</v>
      </c>
      <c r="I20" s="87">
        <f>H20</f>
        <v>455.69620253164555</v>
      </c>
    </row>
    <row r="22" spans="1:9" x14ac:dyDescent="0.2">
      <c r="I22" s="93">
        <f>SUM(I8:I20)</f>
        <v>5049.8531645569619</v>
      </c>
    </row>
    <row r="24" spans="1:9" x14ac:dyDescent="0.2">
      <c r="A24" s="91" t="s">
        <v>82</v>
      </c>
      <c r="B24" s="92"/>
      <c r="C24" s="92"/>
      <c r="D24" s="92"/>
    </row>
    <row r="25" spans="1:9" x14ac:dyDescent="0.2">
      <c r="A25" s="88" t="s">
        <v>75</v>
      </c>
      <c r="B25" s="88"/>
      <c r="C25" s="88"/>
      <c r="D25" s="89">
        <v>0.79</v>
      </c>
      <c r="I25" t="s">
        <v>71</v>
      </c>
    </row>
    <row r="26" spans="1:9" x14ac:dyDescent="0.2">
      <c r="E26" s="82" t="s">
        <v>72</v>
      </c>
      <c r="F26" s="83">
        <v>18</v>
      </c>
      <c r="G26" s="90" t="s">
        <v>73</v>
      </c>
      <c r="H26" s="83">
        <f>F26</f>
        <v>18</v>
      </c>
      <c r="I26" s="82" t="s">
        <v>73</v>
      </c>
    </row>
    <row r="27" spans="1:9" x14ac:dyDescent="0.2">
      <c r="A27" t="s">
        <v>78</v>
      </c>
      <c r="I27" s="85">
        <v>2200</v>
      </c>
    </row>
    <row r="29" spans="1:9" x14ac:dyDescent="0.2">
      <c r="A29" t="s">
        <v>83</v>
      </c>
      <c r="E29" s="79">
        <v>18</v>
      </c>
      <c r="F29" s="80">
        <f>F26*E29</f>
        <v>324</v>
      </c>
      <c r="G29" s="80"/>
      <c r="H29" s="81">
        <f>F29/$D$6</f>
        <v>410.12658227848101</v>
      </c>
      <c r="I29" s="81">
        <f>H29</f>
        <v>410.12658227848101</v>
      </c>
    </row>
    <row r="31" spans="1:9" x14ac:dyDescent="0.2">
      <c r="A31" t="s">
        <v>202</v>
      </c>
      <c r="E31" s="80">
        <v>112</v>
      </c>
      <c r="F31" s="80">
        <f>E31</f>
        <v>112</v>
      </c>
      <c r="G31" s="80"/>
      <c r="H31" s="81">
        <f>F31/$D$6</f>
        <v>141.77215189873417</v>
      </c>
      <c r="I31" s="81">
        <f>H31</f>
        <v>141.77215189873417</v>
      </c>
    </row>
    <row r="33" spans="1:9" x14ac:dyDescent="0.2">
      <c r="A33" t="s">
        <v>80</v>
      </c>
      <c r="H33" s="84">
        <v>177</v>
      </c>
      <c r="I33" s="81">
        <f>H33</f>
        <v>177</v>
      </c>
    </row>
    <row r="35" spans="1:9" x14ac:dyDescent="0.2">
      <c r="A35" s="50" t="s">
        <v>79</v>
      </c>
      <c r="E35" s="80">
        <v>1028</v>
      </c>
      <c r="F35" s="80">
        <f>E35/5</f>
        <v>205.6</v>
      </c>
      <c r="G35" s="81">
        <v>1263</v>
      </c>
      <c r="H35" s="81">
        <f>G35/5</f>
        <v>252.6</v>
      </c>
      <c r="I35" s="81">
        <f>H35</f>
        <v>252.6</v>
      </c>
    </row>
    <row r="36" spans="1:9" x14ac:dyDescent="0.2">
      <c r="A36" t="s">
        <v>84</v>
      </c>
      <c r="H36" s="81">
        <f>H35*0.3</f>
        <v>75.78</v>
      </c>
      <c r="I36" s="81">
        <f>H36</f>
        <v>75.78</v>
      </c>
    </row>
    <row r="38" spans="1:9" x14ac:dyDescent="0.2">
      <c r="A38" t="s">
        <v>76</v>
      </c>
      <c r="E38" s="80">
        <v>40</v>
      </c>
      <c r="F38" s="80">
        <f>E38*F26</f>
        <v>720</v>
      </c>
      <c r="G38" s="80"/>
      <c r="H38" s="81">
        <f>F38/$D$6</f>
        <v>911.39240506329111</v>
      </c>
      <c r="I38" s="81">
        <f>H38</f>
        <v>911.39240506329111</v>
      </c>
    </row>
    <row r="40" spans="1:9" x14ac:dyDescent="0.2">
      <c r="A40" t="s">
        <v>77</v>
      </c>
      <c r="E40" s="80">
        <f>E38/2</f>
        <v>20</v>
      </c>
      <c r="F40" s="80">
        <f>E40*F26</f>
        <v>360</v>
      </c>
      <c r="G40" s="80"/>
      <c r="H40" s="81">
        <f>F40/$D$6</f>
        <v>455.69620253164555</v>
      </c>
      <c r="I40" s="87">
        <f>H40</f>
        <v>455.69620253164555</v>
      </c>
    </row>
    <row r="42" spans="1:9" x14ac:dyDescent="0.2">
      <c r="I42" s="93">
        <f>SUM(I27:I40)</f>
        <v>4624.3673417721511</v>
      </c>
    </row>
  </sheetData>
  <hyperlinks>
    <hyperlink ref="H14" r:id="rId1" display="http://www.eurorailways.com/products/trains_tickets/avipar.htm"/>
    <hyperlink ref="A16" r:id="rId2"/>
    <hyperlink ref="H33" r:id="rId3" display="http://www.eurorailways.com/products/trains_tickets/avipar.htm"/>
    <hyperlink ref="A35" r:id="rId4"/>
  </hyperlinks>
  <pageMargins left="0.7" right="0.7" top="0.75" bottom="0.75" header="0.3" footer="0.3"/>
  <pageSetup paperSize="9" orientation="portrait" horizontalDpi="0" verticalDpi="0"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" workbookViewId="0">
      <selection activeCell="E30" sqref="E30"/>
    </sheetView>
  </sheetViews>
  <sheetFormatPr defaultRowHeight="12.75" x14ac:dyDescent="0.2"/>
  <cols>
    <col min="1" max="1" width="35.5703125" customWidth="1"/>
    <col min="2" max="2" width="8.42578125" style="2" customWidth="1"/>
    <col min="3" max="3" width="11.5703125" bestFit="1" customWidth="1"/>
    <col min="5" max="5" width="9.140625" style="2"/>
    <col min="6" max="6" width="8.7109375" customWidth="1"/>
  </cols>
  <sheetData>
    <row r="2" spans="1:14" ht="15" x14ac:dyDescent="0.25">
      <c r="A2" s="3"/>
      <c r="B2" s="4"/>
      <c r="C2" s="3"/>
      <c r="D2" s="3"/>
      <c r="E2" s="4"/>
      <c r="F2" s="5" t="s">
        <v>19</v>
      </c>
      <c r="G2" s="3"/>
      <c r="H2" s="3"/>
      <c r="I2" s="3"/>
      <c r="J2" s="3"/>
      <c r="K2" s="3"/>
      <c r="L2" s="3"/>
      <c r="M2" s="3"/>
      <c r="N2" s="3"/>
    </row>
    <row r="3" spans="1:14" ht="15" x14ac:dyDescent="0.25">
      <c r="A3" s="3"/>
      <c r="B3" s="4"/>
      <c r="C3" s="3"/>
      <c r="D3" s="3"/>
      <c r="E3" s="6" t="s">
        <v>19</v>
      </c>
      <c r="F3" s="7" t="s">
        <v>23</v>
      </c>
      <c r="G3" s="3"/>
      <c r="H3" s="3"/>
      <c r="I3" s="3"/>
      <c r="J3" s="3"/>
      <c r="K3" s="3"/>
      <c r="L3" s="3"/>
      <c r="M3" s="3"/>
      <c r="N3" s="3"/>
    </row>
    <row r="4" spans="1:14" ht="30" x14ac:dyDescent="0.2">
      <c r="A4" s="236" t="s">
        <v>19</v>
      </c>
      <c r="B4" s="8" t="s">
        <v>20</v>
      </c>
      <c r="C4" s="7" t="s">
        <v>40</v>
      </c>
      <c r="D4" s="7" t="s">
        <v>21</v>
      </c>
      <c r="E4" s="237" t="s">
        <v>39</v>
      </c>
      <c r="F4" s="7" t="s">
        <v>4</v>
      </c>
      <c r="G4" s="236" t="s">
        <v>24</v>
      </c>
      <c r="H4" s="7" t="s">
        <v>25</v>
      </c>
      <c r="I4" s="3"/>
      <c r="J4" s="3"/>
      <c r="K4" s="3"/>
      <c r="L4" s="3"/>
      <c r="M4" s="3"/>
      <c r="N4" s="3"/>
    </row>
    <row r="5" spans="1:14" ht="15" x14ac:dyDescent="0.25">
      <c r="A5" s="236"/>
      <c r="B5" s="8" t="s">
        <v>38</v>
      </c>
      <c r="C5" s="9">
        <v>0.30480000000000002</v>
      </c>
      <c r="D5" s="7" t="s">
        <v>22</v>
      </c>
      <c r="E5" s="237"/>
      <c r="F5" s="10">
        <v>0.62139999999999995</v>
      </c>
      <c r="G5" s="236"/>
      <c r="H5" s="7" t="s">
        <v>26</v>
      </c>
      <c r="I5" s="3"/>
      <c r="J5" s="3"/>
      <c r="K5" s="3"/>
      <c r="L5" s="3"/>
      <c r="M5" s="3"/>
      <c r="N5" s="3"/>
    </row>
    <row r="6" spans="1:14" ht="21" customHeight="1" x14ac:dyDescent="0.2">
      <c r="A6" s="11" t="s">
        <v>27</v>
      </c>
      <c r="B6" s="12">
        <v>6312</v>
      </c>
      <c r="C6" s="13">
        <f>B6*$C$5</f>
        <v>1923.8976</v>
      </c>
      <c r="D6" s="14">
        <v>5.5E-2</v>
      </c>
      <c r="E6" s="15">
        <v>21.7</v>
      </c>
      <c r="F6" s="13">
        <f>E6/$F$5</f>
        <v>34.921145799806887</v>
      </c>
      <c r="G6" s="16" t="s">
        <v>28</v>
      </c>
      <c r="H6" s="17">
        <v>184</v>
      </c>
      <c r="I6" s="3"/>
      <c r="J6" s="3"/>
      <c r="K6" s="3"/>
      <c r="L6" s="3"/>
      <c r="M6" s="3"/>
      <c r="N6" s="3"/>
    </row>
    <row r="7" spans="1:14" ht="27.75" customHeight="1" x14ac:dyDescent="0.2">
      <c r="A7" s="11" t="s">
        <v>29</v>
      </c>
      <c r="B7" s="12">
        <v>4829</v>
      </c>
      <c r="C7" s="13">
        <f t="shared" ref="C7:C15" si="0">B7*$C$5</f>
        <v>1471.8792000000001</v>
      </c>
      <c r="D7" s="14">
        <v>6.9000000000000006E-2</v>
      </c>
      <c r="E7" s="15">
        <v>13.2</v>
      </c>
      <c r="F7" s="13">
        <f t="shared" ref="F7:F15" si="1">E7/$F$5</f>
        <v>21.242355970389443</v>
      </c>
      <c r="G7" s="16" t="s">
        <v>28</v>
      </c>
      <c r="H7" s="17">
        <v>146</v>
      </c>
      <c r="I7" s="3"/>
      <c r="J7" s="3"/>
      <c r="K7" s="3"/>
      <c r="L7" s="3"/>
      <c r="M7" s="3"/>
      <c r="N7" s="3"/>
    </row>
    <row r="8" spans="1:14" ht="28.5" customHeight="1" x14ac:dyDescent="0.2">
      <c r="A8" s="11" t="s">
        <v>30</v>
      </c>
      <c r="B8" s="12">
        <v>4239</v>
      </c>
      <c r="C8" s="13">
        <f t="shared" si="0"/>
        <v>1292.0472</v>
      </c>
      <c r="D8" s="14">
        <v>4.7E-2</v>
      </c>
      <c r="E8" s="15">
        <v>17.100000000000001</v>
      </c>
      <c r="F8" s="13">
        <f t="shared" si="1"/>
        <v>27.51850659800451</v>
      </c>
      <c r="G8" s="16" t="s">
        <v>28</v>
      </c>
      <c r="H8" s="17">
        <v>144</v>
      </c>
      <c r="I8" s="3"/>
      <c r="J8" s="3"/>
      <c r="K8" s="3"/>
      <c r="L8" s="3"/>
      <c r="M8" s="3"/>
      <c r="N8" s="3"/>
    </row>
    <row r="9" spans="1:14" ht="26.25" customHeight="1" x14ac:dyDescent="0.2">
      <c r="A9" s="11" t="s">
        <v>31</v>
      </c>
      <c r="B9" s="12">
        <v>3514</v>
      </c>
      <c r="C9" s="13">
        <f t="shared" si="0"/>
        <v>1071.0672</v>
      </c>
      <c r="D9" s="14">
        <v>5.5E-2</v>
      </c>
      <c r="E9" s="15">
        <v>12.1</v>
      </c>
      <c r="F9" s="13">
        <f t="shared" si="1"/>
        <v>19.472159639523657</v>
      </c>
      <c r="G9" s="16" t="s">
        <v>28</v>
      </c>
      <c r="H9" s="17">
        <v>138</v>
      </c>
      <c r="I9" s="3"/>
      <c r="J9" s="3"/>
      <c r="K9" s="3"/>
      <c r="L9" s="3"/>
      <c r="M9" s="3"/>
      <c r="N9" s="3"/>
    </row>
    <row r="10" spans="1:14" ht="28.5" customHeight="1" x14ac:dyDescent="0.2">
      <c r="A10" s="11" t="s">
        <v>32</v>
      </c>
      <c r="B10" s="12">
        <v>4117</v>
      </c>
      <c r="C10" s="13">
        <f t="shared" si="0"/>
        <v>1254.8616</v>
      </c>
      <c r="D10" s="14">
        <v>6.9000000000000006E-2</v>
      </c>
      <c r="E10" s="15">
        <v>11.4</v>
      </c>
      <c r="F10" s="13">
        <f t="shared" si="1"/>
        <v>18.34567106533634</v>
      </c>
      <c r="G10" s="16" t="s">
        <v>28</v>
      </c>
      <c r="H10" s="17">
        <v>135</v>
      </c>
      <c r="I10" s="3"/>
      <c r="J10" s="3"/>
      <c r="K10" s="3"/>
      <c r="L10" s="3"/>
      <c r="M10" s="3"/>
      <c r="N10" s="3"/>
    </row>
    <row r="11" spans="1:14" ht="25.5" customHeight="1" x14ac:dyDescent="0.2">
      <c r="A11" s="11" t="s">
        <v>33</v>
      </c>
      <c r="B11" s="12">
        <v>3579</v>
      </c>
      <c r="C11" s="13">
        <f t="shared" si="0"/>
        <v>1090.8792000000001</v>
      </c>
      <c r="D11" s="14">
        <v>7.6999999999999999E-2</v>
      </c>
      <c r="E11" s="15">
        <v>8.8000000000000007</v>
      </c>
      <c r="F11" s="13">
        <f t="shared" si="1"/>
        <v>14.161570646926299</v>
      </c>
      <c r="G11" s="16" t="s">
        <v>28</v>
      </c>
      <c r="H11" s="17">
        <v>125</v>
      </c>
      <c r="I11" s="3"/>
      <c r="J11" s="3"/>
      <c r="K11" s="3"/>
      <c r="L11" s="3"/>
      <c r="M11" s="3"/>
      <c r="N11" s="3"/>
    </row>
    <row r="12" spans="1:14" ht="28.5" customHeight="1" x14ac:dyDescent="0.2">
      <c r="A12" s="11" t="s">
        <v>34</v>
      </c>
      <c r="B12" s="12">
        <v>3757</v>
      </c>
      <c r="C12" s="13">
        <f t="shared" si="0"/>
        <v>1145.1336000000001</v>
      </c>
      <c r="D12" s="14">
        <v>0.06</v>
      </c>
      <c r="E12" s="15">
        <v>11.9</v>
      </c>
      <c r="F12" s="13">
        <f t="shared" si="1"/>
        <v>19.150305761184423</v>
      </c>
      <c r="G12" s="16" t="s">
        <v>28</v>
      </c>
      <c r="H12" s="17">
        <v>103</v>
      </c>
      <c r="I12" s="3"/>
      <c r="J12" s="3"/>
      <c r="K12" s="3"/>
      <c r="L12" s="3"/>
      <c r="M12" s="3"/>
      <c r="N12" s="3"/>
    </row>
    <row r="13" spans="1:14" ht="26.25" customHeight="1" x14ac:dyDescent="0.2">
      <c r="A13" s="11" t="s">
        <v>35</v>
      </c>
      <c r="B13" s="12">
        <v>4157</v>
      </c>
      <c r="C13" s="13">
        <f t="shared" si="0"/>
        <v>1267.0536</v>
      </c>
      <c r="D13" s="14">
        <v>5.0999999999999997E-2</v>
      </c>
      <c r="E13" s="15">
        <v>15.5</v>
      </c>
      <c r="F13" s="13">
        <f t="shared" si="1"/>
        <v>24.943675571290637</v>
      </c>
      <c r="G13" s="16" t="s">
        <v>28</v>
      </c>
      <c r="H13" s="17">
        <v>102</v>
      </c>
      <c r="I13" s="3"/>
      <c r="J13" s="3"/>
      <c r="K13" s="3"/>
      <c r="L13" s="3"/>
      <c r="M13" s="3"/>
      <c r="N13" s="3"/>
    </row>
    <row r="14" spans="1:14" ht="25.5" customHeight="1" x14ac:dyDescent="0.2">
      <c r="A14" s="11" t="s">
        <v>36</v>
      </c>
      <c r="B14" s="12">
        <v>1322</v>
      </c>
      <c r="C14" s="13">
        <f t="shared" si="0"/>
        <v>402.94560000000001</v>
      </c>
      <c r="D14" s="14">
        <v>6.8000000000000005E-2</v>
      </c>
      <c r="E14" s="15">
        <v>3.7</v>
      </c>
      <c r="F14" s="13">
        <f t="shared" si="1"/>
        <v>5.9542967492758292</v>
      </c>
      <c r="G14" s="16" t="s">
        <v>28</v>
      </c>
      <c r="H14" s="17">
        <v>62</v>
      </c>
      <c r="I14" s="3"/>
      <c r="J14" s="3"/>
      <c r="K14" s="3"/>
      <c r="L14" s="3"/>
      <c r="M14" s="3"/>
      <c r="N14" s="3"/>
    </row>
    <row r="15" spans="1:14" ht="39" customHeight="1" x14ac:dyDescent="0.2">
      <c r="A15" s="11" t="s">
        <v>37</v>
      </c>
      <c r="B15" s="12">
        <v>1030</v>
      </c>
      <c r="C15" s="13">
        <f t="shared" si="0"/>
        <v>313.94400000000002</v>
      </c>
      <c r="D15" s="14">
        <v>7.8E-2</v>
      </c>
      <c r="E15" s="15">
        <v>2.5</v>
      </c>
      <c r="F15" s="13">
        <f t="shared" si="1"/>
        <v>4.023173479240425</v>
      </c>
      <c r="G15" s="16" t="s">
        <v>28</v>
      </c>
      <c r="H15" s="17">
        <v>60</v>
      </c>
      <c r="I15" s="3"/>
      <c r="J15" s="3"/>
      <c r="K15" s="3"/>
      <c r="L15" s="3"/>
      <c r="M15" s="3"/>
      <c r="N15" s="3"/>
    </row>
    <row r="16" spans="1:14" ht="14.25" x14ac:dyDescent="0.2">
      <c r="A16" s="3"/>
      <c r="B16" s="4"/>
      <c r="C16" s="3"/>
      <c r="D16" s="18"/>
      <c r="E16" s="19"/>
      <c r="F16" s="18"/>
      <c r="G16" s="20"/>
      <c r="H16" s="18"/>
      <c r="I16" s="3"/>
      <c r="J16" s="3"/>
      <c r="K16" s="3"/>
      <c r="L16" s="3"/>
      <c r="M16" s="3"/>
      <c r="N16" s="3"/>
    </row>
    <row r="17" spans="1:14" ht="14.25" x14ac:dyDescent="0.2">
      <c r="A17" s="3"/>
      <c r="B17" s="4"/>
      <c r="C17" s="3"/>
      <c r="D17" s="18"/>
      <c r="E17" s="19"/>
      <c r="F17" s="18"/>
      <c r="G17" s="18"/>
      <c r="H17" s="18"/>
      <c r="I17" s="3"/>
      <c r="J17" s="3"/>
      <c r="K17" s="3"/>
      <c r="L17" s="3"/>
      <c r="M17" s="3"/>
      <c r="N17" s="3"/>
    </row>
    <row r="18" spans="1:14" ht="14.25" x14ac:dyDescent="0.2">
      <c r="A18" s="3"/>
      <c r="B18" s="4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x14ac:dyDescent="0.2">
      <c r="A19" s="3"/>
      <c r="B19" s="4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x14ac:dyDescent="0.2">
      <c r="A20" s="3"/>
      <c r="B20" s="4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x14ac:dyDescent="0.2">
      <c r="A21" s="3"/>
      <c r="B21" s="4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x14ac:dyDescent="0.2">
      <c r="A22" s="3"/>
      <c r="B22" s="4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x14ac:dyDescent="0.2">
      <c r="A23" s="3"/>
      <c r="B23" s="4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x14ac:dyDescent="0.2">
      <c r="A24" s="3"/>
      <c r="B24" s="4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x14ac:dyDescent="0.2">
      <c r="A25" s="3"/>
      <c r="B25" s="4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</row>
    <row r="26" spans="1:14" ht="14.25" x14ac:dyDescent="0.2">
      <c r="A26" s="3"/>
      <c r="B26" s="4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</row>
    <row r="27" spans="1:14" ht="14.25" x14ac:dyDescent="0.2">
      <c r="A27" s="3"/>
      <c r="B27" s="4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</row>
    <row r="28" spans="1:14" ht="14.25" x14ac:dyDescent="0.2">
      <c r="A28" s="3"/>
      <c r="B28" s="4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</row>
    <row r="29" spans="1:14" ht="14.25" x14ac:dyDescent="0.2">
      <c r="A29" s="3"/>
      <c r="B29" s="4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</row>
  </sheetData>
  <mergeCells count="3">
    <mergeCell ref="A4:A5"/>
    <mergeCell ref="E4:E5"/>
    <mergeCell ref="G4:G5"/>
  </mergeCells>
  <hyperlinks>
    <hyperlink ref="G6" r:id="rId1" display="http://www.thomsonbiketours.com/profiles/profile.php?profile=galibc.gif"/>
    <hyperlink ref="G7" r:id="rId2" display="http://www.thomsonbiketours.com/profiles/profile.php?profile=glandonl1.gif"/>
    <hyperlink ref="G8" r:id="rId3" display="http://www.thomsonbiketours.com/profiles/profile.php?profile=croixdeferb1.gif"/>
    <hyperlink ref="G9" r:id="rId4" display="http://www.thomsonbiketours.com/profiles/profile.php?profile=sarenne.gif"/>
    <hyperlink ref="G10" r:id="rId5" display="http://www.thomsonbiketours.com/profiles/profile.php?profile=grand_colombier.gif"/>
    <hyperlink ref="G11" r:id="rId6" display="http://www.thomsonbiketours.com/profiles/profile.php?profile=huezb.gif"/>
    <hyperlink ref="G12" r:id="rId7" display="http://www.thomsonbiketours.com/profiles/profile.php?profile=toussi1.gif"/>
    <hyperlink ref="G13" r:id="rId8" display="http://www.thomsonbiketours.com/profiles/profile.php?profile=revard.gif"/>
    <hyperlink ref="G14" r:id="rId9" display="http://www.thomsonbiketours.com/profiles/profile.php?profile=mollard1.gif"/>
    <hyperlink ref="G15" r:id="rId10" display="http://www.thomsonbiketours.com/profiles/profile.php?profile=cucheron.gif"/>
  </hyperlinks>
  <pageMargins left="0.7" right="0.7" top="0.75" bottom="0.75" header="0.3" footer="0.3"/>
  <pageSetup paperSize="9" orientation="portrait" horizontalDpi="0" verticalDpi="0"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opLeftCell="A2" workbookViewId="0">
      <selection activeCell="G10" sqref="G10"/>
    </sheetView>
  </sheetViews>
  <sheetFormatPr defaultRowHeight="12.75" x14ac:dyDescent="0.2"/>
  <cols>
    <col min="1" max="1" width="2.42578125" customWidth="1"/>
    <col min="2" max="2" width="27.5703125" customWidth="1"/>
    <col min="5" max="5" width="11" bestFit="1" customWidth="1"/>
    <col min="7" max="7" width="10" customWidth="1"/>
    <col min="9" max="9" width="23.5703125" customWidth="1"/>
    <col min="12" max="12" width="11" bestFit="1" customWidth="1"/>
  </cols>
  <sheetData>
    <row r="1" spans="1:13" x14ac:dyDescent="0.2">
      <c r="J1">
        <v>0.83</v>
      </c>
      <c r="K1" t="s">
        <v>247</v>
      </c>
    </row>
    <row r="3" spans="1:13" x14ac:dyDescent="0.2">
      <c r="A3">
        <v>1</v>
      </c>
      <c r="B3" t="s">
        <v>235</v>
      </c>
      <c r="C3" s="212">
        <v>80</v>
      </c>
      <c r="D3">
        <f>1/3</f>
        <v>0.33333333333333331</v>
      </c>
      <c r="H3" s="158">
        <f>C3*D3</f>
        <v>26.666666666666664</v>
      </c>
      <c r="I3" t="s">
        <v>250</v>
      </c>
    </row>
    <row r="5" spans="1:13" x14ac:dyDescent="0.2">
      <c r="A5">
        <v>2</v>
      </c>
      <c r="B5" t="s">
        <v>236</v>
      </c>
      <c r="F5" s="217">
        <v>283.51</v>
      </c>
      <c r="G5" s="213">
        <v>4</v>
      </c>
      <c r="H5" s="163">
        <f>F5/G5</f>
        <v>70.877499999999998</v>
      </c>
      <c r="I5" t="s">
        <v>251</v>
      </c>
      <c r="J5" t="s">
        <v>237</v>
      </c>
    </row>
    <row r="7" spans="1:13" x14ac:dyDescent="0.2">
      <c r="A7">
        <v>3</v>
      </c>
      <c r="B7" t="s">
        <v>238</v>
      </c>
      <c r="E7" s="215">
        <v>423.32</v>
      </c>
      <c r="F7" s="218">
        <f>E7/J1</f>
        <v>510.02409638554218</v>
      </c>
      <c r="H7" s="216">
        <f>F7/21*3</f>
        <v>72.860585197934597</v>
      </c>
      <c r="K7" s="148" t="s">
        <v>248</v>
      </c>
      <c r="L7" s="215">
        <v>135.80000000000001</v>
      </c>
      <c r="M7" t="s">
        <v>252</v>
      </c>
    </row>
    <row r="8" spans="1:13" x14ac:dyDescent="0.2">
      <c r="H8" s="216">
        <f>F7/21*6</f>
        <v>145.72117039586919</v>
      </c>
      <c r="I8" s="216">
        <f>H7+(3*H8)</f>
        <v>510.02409638554218</v>
      </c>
    </row>
    <row r="9" spans="1:13" x14ac:dyDescent="0.2">
      <c r="A9">
        <v>4</v>
      </c>
      <c r="B9" t="s">
        <v>239</v>
      </c>
    </row>
    <row r="10" spans="1:13" x14ac:dyDescent="0.2">
      <c r="B10" t="s">
        <v>240</v>
      </c>
      <c r="H10" s="214">
        <f>'Rental car contributions'!F7</f>
        <v>142.5327272727273</v>
      </c>
      <c r="I10" s="214">
        <f>H10+(3*H11)</f>
        <v>783.93000000000006</v>
      </c>
    </row>
    <row r="11" spans="1:13" x14ac:dyDescent="0.2">
      <c r="B11" t="s">
        <v>241</v>
      </c>
      <c r="H11" s="214">
        <f>'Rental car contributions'!D6</f>
        <v>213.79909090909092</v>
      </c>
    </row>
    <row r="13" spans="1:13" x14ac:dyDescent="0.2">
      <c r="A13">
        <v>5</v>
      </c>
      <c r="B13" t="s">
        <v>242</v>
      </c>
      <c r="D13">
        <v>62</v>
      </c>
      <c r="E13" t="s">
        <v>245</v>
      </c>
      <c r="G13" s="158">
        <v>76.38</v>
      </c>
    </row>
    <row r="14" spans="1:13" x14ac:dyDescent="0.2">
      <c r="B14" t="s">
        <v>243</v>
      </c>
      <c r="G14" s="158">
        <f>G13/3</f>
        <v>25.459999999999997</v>
      </c>
    </row>
    <row r="15" spans="1:13" x14ac:dyDescent="0.2">
      <c r="B15" t="s">
        <v>244</v>
      </c>
      <c r="G15" s="158">
        <f>G14</f>
        <v>25.459999999999997</v>
      </c>
    </row>
    <row r="16" spans="1:13" x14ac:dyDescent="0.2">
      <c r="B16" t="s">
        <v>246</v>
      </c>
      <c r="G16" s="158">
        <f>G15</f>
        <v>25.459999999999997</v>
      </c>
    </row>
    <row r="18" spans="1:4" x14ac:dyDescent="0.2">
      <c r="A18">
        <v>6</v>
      </c>
      <c r="B18" t="s">
        <v>249</v>
      </c>
      <c r="C18">
        <f>(15*2)+10+10</f>
        <v>50</v>
      </c>
      <c r="D18" t="s">
        <v>245</v>
      </c>
    </row>
    <row r="20" spans="1:4" x14ac:dyDescent="0.2">
      <c r="D20" t="s">
        <v>52</v>
      </c>
    </row>
    <row r="21" spans="1:4" x14ac:dyDescent="0.2">
      <c r="D21" t="s">
        <v>52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2" zoomScale="90" zoomScaleNormal="90" workbookViewId="0">
      <selection activeCell="J9" sqref="J9"/>
    </sheetView>
  </sheetViews>
  <sheetFormatPr defaultRowHeight="12.75" x14ac:dyDescent="0.2"/>
  <cols>
    <col min="1" max="1" width="2.42578125" customWidth="1"/>
    <col min="2" max="2" width="27.5703125" customWidth="1"/>
    <col min="3" max="3" width="14" customWidth="1"/>
    <col min="4" max="4" width="15.5703125" customWidth="1"/>
    <col min="5" max="5" width="11.42578125" customWidth="1"/>
    <col min="6" max="6" width="11" bestFit="1" customWidth="1"/>
    <col min="9" max="9" width="10" customWidth="1"/>
    <col min="11" max="11" width="9.7109375" customWidth="1"/>
    <col min="14" max="14" width="11" bestFit="1" customWidth="1"/>
  </cols>
  <sheetData>
    <row r="1" spans="1:14" x14ac:dyDescent="0.2">
      <c r="B1">
        <v>0.83</v>
      </c>
      <c r="C1" t="s">
        <v>247</v>
      </c>
    </row>
    <row r="3" spans="1:14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I3" t="s">
        <v>256</v>
      </c>
      <c r="J3" t="s">
        <v>257</v>
      </c>
      <c r="K3" t="s">
        <v>258</v>
      </c>
      <c r="L3" t="s">
        <v>259</v>
      </c>
    </row>
    <row r="5" spans="1:14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J5" s="158"/>
    </row>
    <row r="6" spans="1:14" x14ac:dyDescent="0.2">
      <c r="D6" s="216"/>
      <c r="E6" s="216"/>
      <c r="F6" s="216"/>
      <c r="G6" s="216"/>
      <c r="H6" s="216"/>
      <c r="J6" s="158"/>
    </row>
    <row r="7" spans="1:14" x14ac:dyDescent="0.2">
      <c r="A7">
        <v>2</v>
      </c>
      <c r="B7" t="s">
        <v>236</v>
      </c>
      <c r="C7">
        <v>222</v>
      </c>
      <c r="D7" s="216">
        <v>283.51</v>
      </c>
      <c r="E7" s="216"/>
      <c r="F7" s="216">
        <f>D7</f>
        <v>283.51</v>
      </c>
      <c r="G7" s="216"/>
      <c r="H7" s="216"/>
      <c r="I7" s="216">
        <f>D7/4</f>
        <v>70.877499999999998</v>
      </c>
      <c r="J7" s="216">
        <f>-D7/4*3</f>
        <v>-212.63249999999999</v>
      </c>
      <c r="K7" s="216">
        <f>D7/4</f>
        <v>70.877499999999998</v>
      </c>
      <c r="L7" s="216">
        <f>D7/4</f>
        <v>70.877499999999998</v>
      </c>
    </row>
    <row r="8" spans="1:14" x14ac:dyDescent="0.2">
      <c r="D8" s="216"/>
      <c r="E8" s="216"/>
      <c r="F8" s="216"/>
      <c r="G8" s="216"/>
      <c r="H8" s="216"/>
      <c r="I8" s="216"/>
      <c r="J8" s="216"/>
      <c r="K8" s="216"/>
      <c r="L8" s="216"/>
    </row>
    <row r="9" spans="1:14" x14ac:dyDescent="0.2">
      <c r="A9">
        <v>3</v>
      </c>
      <c r="B9" t="s">
        <v>238</v>
      </c>
      <c r="C9">
        <v>423.32</v>
      </c>
      <c r="D9" s="216">
        <f>C9/B1</f>
        <v>510.02409638554218</v>
      </c>
      <c r="E9" s="216"/>
      <c r="F9" s="216">
        <f>135.8/B1</f>
        <v>163.61445783132532</v>
      </c>
      <c r="G9" s="216">
        <f>287.52/B1</f>
        <v>346.40963855421688</v>
      </c>
      <c r="H9" s="216"/>
      <c r="I9" s="216">
        <f>D9/21*6</f>
        <v>145.72117039586919</v>
      </c>
      <c r="J9" s="216">
        <f>D9/21*6-F9</f>
        <v>-17.893287435456131</v>
      </c>
      <c r="K9" s="216">
        <f>D9/21*6-G9</f>
        <v>-200.68846815834769</v>
      </c>
      <c r="L9" s="216">
        <f>D9/21*3</f>
        <v>72.860585197934597</v>
      </c>
      <c r="M9" s="148"/>
      <c r="N9" s="215"/>
    </row>
    <row r="10" spans="1:14" x14ac:dyDescent="0.2">
      <c r="D10" s="216"/>
      <c r="E10" s="216"/>
      <c r="F10" s="216"/>
      <c r="G10" s="216"/>
      <c r="H10" s="216"/>
      <c r="I10" s="216"/>
      <c r="J10" s="216"/>
      <c r="K10" s="216"/>
      <c r="L10" s="216"/>
    </row>
    <row r="11" spans="1:14" x14ac:dyDescent="0.2">
      <c r="A11">
        <v>4</v>
      </c>
      <c r="B11" t="s">
        <v>264</v>
      </c>
      <c r="C11">
        <v>65.02</v>
      </c>
      <c r="D11" s="216">
        <f>C11/B1</f>
        <v>78.337349397590359</v>
      </c>
      <c r="E11" s="216"/>
      <c r="F11" s="216"/>
      <c r="G11" s="216">
        <f>D11</f>
        <v>78.337349397590359</v>
      </c>
      <c r="I11" s="216">
        <f>D11/4</f>
        <v>19.58433734939759</v>
      </c>
      <c r="J11" s="216">
        <f>D11/4</f>
        <v>19.58433734939759</v>
      </c>
      <c r="K11" s="216">
        <f>-D11/4*3</f>
        <v>-58.753012048192772</v>
      </c>
      <c r="L11" s="216">
        <f>D11/4</f>
        <v>19.58433734939759</v>
      </c>
    </row>
    <row r="12" spans="1:14" x14ac:dyDescent="0.2"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4" x14ac:dyDescent="0.2">
      <c r="A13">
        <v>5</v>
      </c>
      <c r="B13" t="s">
        <v>265</v>
      </c>
      <c r="C13">
        <v>100</v>
      </c>
      <c r="D13" s="216">
        <f>C13/B1</f>
        <v>120.48192771084338</v>
      </c>
      <c r="E13" s="216"/>
      <c r="F13" s="216"/>
      <c r="G13" s="216"/>
      <c r="H13" s="216"/>
      <c r="I13" s="216"/>
      <c r="J13" s="216"/>
      <c r="K13" s="216"/>
      <c r="L13" s="216"/>
    </row>
    <row r="14" spans="1:14" x14ac:dyDescent="0.2"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4" x14ac:dyDescent="0.2">
      <c r="A15">
        <v>6</v>
      </c>
      <c r="B15" t="s">
        <v>261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>
        <f>E15*15/55-E15</f>
        <v>-570.1309090909092</v>
      </c>
      <c r="J15" s="216">
        <f>E15/55*15</f>
        <v>213.79909090909092</v>
      </c>
      <c r="K15" s="216">
        <f>E15/55*15</f>
        <v>213.79909090909092</v>
      </c>
      <c r="L15" s="216">
        <f>D15/55*10</f>
        <v>142.53272727272727</v>
      </c>
    </row>
    <row r="16" spans="1:14" x14ac:dyDescent="0.2">
      <c r="D16" s="216"/>
      <c r="E16" s="216"/>
      <c r="F16" s="216"/>
      <c r="G16" s="216"/>
      <c r="H16" s="216"/>
      <c r="I16" s="216"/>
      <c r="J16" s="216"/>
      <c r="K16" s="216"/>
      <c r="L16" s="216"/>
    </row>
    <row r="17" spans="1:12" x14ac:dyDescent="0.2">
      <c r="A17">
        <v>7</v>
      </c>
      <c r="B17" t="s">
        <v>242</v>
      </c>
      <c r="C17">
        <v>62</v>
      </c>
      <c r="D17" s="216"/>
      <c r="E17" s="216">
        <v>62</v>
      </c>
      <c r="F17" s="216"/>
      <c r="G17" s="216"/>
      <c r="H17" s="216"/>
      <c r="I17" s="216">
        <f>-E17/3*2</f>
        <v>-41.333333333333336</v>
      </c>
      <c r="J17" s="216">
        <f>E17/3</f>
        <v>20.666666666666668</v>
      </c>
      <c r="K17" s="216">
        <v>0</v>
      </c>
      <c r="L17" s="216">
        <f>E17/3</f>
        <v>20.666666666666668</v>
      </c>
    </row>
    <row r="18" spans="1:12" x14ac:dyDescent="0.2">
      <c r="D18" s="216"/>
      <c r="E18" s="216"/>
      <c r="F18" s="216"/>
      <c r="G18" s="216"/>
      <c r="H18" s="216"/>
      <c r="I18" s="216"/>
      <c r="J18" s="216"/>
      <c r="K18" s="216"/>
      <c r="L18" s="216"/>
    </row>
    <row r="19" spans="1:12" x14ac:dyDescent="0.2">
      <c r="A19">
        <v>8</v>
      </c>
      <c r="B19" t="s">
        <v>249</v>
      </c>
      <c r="C19">
        <f>(15*2)+10+10</f>
        <v>50</v>
      </c>
      <c r="D19" s="216"/>
      <c r="E19" s="216"/>
      <c r="F19" s="216"/>
      <c r="G19" s="216"/>
      <c r="H19" s="216"/>
      <c r="I19" s="216"/>
      <c r="J19" s="216"/>
      <c r="K19" s="216"/>
      <c r="L19" s="216"/>
    </row>
    <row r="20" spans="1:12" x14ac:dyDescent="0.2">
      <c r="D20" s="216"/>
      <c r="E20" s="216"/>
      <c r="F20" s="216"/>
      <c r="G20" s="216"/>
      <c r="H20" s="216"/>
      <c r="I20" s="216"/>
      <c r="J20" s="216"/>
      <c r="K20" s="216"/>
      <c r="L20" s="216"/>
    </row>
    <row r="21" spans="1:12" x14ac:dyDescent="0.2">
      <c r="D21" s="216"/>
      <c r="E21" s="216"/>
      <c r="F21" s="216"/>
      <c r="G21" s="216"/>
      <c r="H21" s="216"/>
      <c r="I21" s="216"/>
      <c r="J21" s="216"/>
      <c r="K21" s="216"/>
      <c r="L21" s="216"/>
    </row>
    <row r="22" spans="1:12" x14ac:dyDescent="0.2">
      <c r="D22" s="216"/>
      <c r="E22" s="216" t="s">
        <v>52</v>
      </c>
      <c r="F22" s="216"/>
      <c r="G22" s="216"/>
      <c r="H22" s="216"/>
      <c r="I22" s="216"/>
      <c r="J22" s="216"/>
      <c r="K22" s="216"/>
      <c r="L22" s="216"/>
    </row>
    <row r="23" spans="1:12" ht="13.5" thickBot="1" x14ac:dyDescent="0.25">
      <c r="A23" t="s">
        <v>267</v>
      </c>
      <c r="E23" t="s">
        <v>52</v>
      </c>
      <c r="I23" s="219">
        <f>SUM(I5:I20)</f>
        <v>-375.28123467897575</v>
      </c>
      <c r="J23" s="219">
        <f t="shared" ref="J23:L23" si="0">SUM(J5:J20)</f>
        <v>23.524307489699066</v>
      </c>
      <c r="K23" s="219">
        <f t="shared" si="0"/>
        <v>25.235110702550458</v>
      </c>
      <c r="L23" s="219">
        <f t="shared" si="0"/>
        <v>326.52181648672615</v>
      </c>
    </row>
    <row r="24" spans="1:12" ht="13.5" thickTop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1" zoomScale="90" zoomScaleNormal="90" workbookViewId="0">
      <selection activeCell="E26" sqref="E26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247</v>
      </c>
    </row>
    <row r="3" spans="1:15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J3" t="s">
        <v>256</v>
      </c>
      <c r="K3" t="s">
        <v>257</v>
      </c>
      <c r="L3" t="s">
        <v>258</v>
      </c>
      <c r="M3" t="s">
        <v>259</v>
      </c>
    </row>
    <row r="5" spans="1:15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I5" s="216"/>
      <c r="J5" s="216">
        <f>-D5/3*2</f>
        <v>-53.333333333333336</v>
      </c>
      <c r="K5" s="216">
        <f>E5/3</f>
        <v>26.666666666666668</v>
      </c>
      <c r="L5" s="216">
        <f>E5/3</f>
        <v>26.666666666666668</v>
      </c>
      <c r="M5" s="216"/>
    </row>
    <row r="6" spans="1:15" x14ac:dyDescent="0.2">
      <c r="D6" s="216"/>
      <c r="E6" s="216"/>
      <c r="F6" s="216"/>
      <c r="G6" s="216"/>
      <c r="H6" s="216"/>
      <c r="I6" s="216"/>
      <c r="K6" s="158"/>
    </row>
    <row r="7" spans="1:15" x14ac:dyDescent="0.2">
      <c r="A7">
        <v>2</v>
      </c>
      <c r="B7" t="s">
        <v>236</v>
      </c>
      <c r="C7">
        <v>222</v>
      </c>
      <c r="D7" s="216">
        <v>283.51</v>
      </c>
      <c r="E7" s="216"/>
      <c r="F7" s="216">
        <f>D7</f>
        <v>283.51</v>
      </c>
      <c r="G7" s="216"/>
      <c r="H7" s="216"/>
      <c r="I7" s="216"/>
      <c r="J7" s="216">
        <f>D7/4</f>
        <v>70.877499999999998</v>
      </c>
      <c r="K7" s="216">
        <f>-D7/4*3</f>
        <v>-212.63249999999999</v>
      </c>
      <c r="L7" s="216">
        <f>D7/4</f>
        <v>70.877499999999998</v>
      </c>
      <c r="M7" s="216">
        <f>D7/4</f>
        <v>70.877499999999998</v>
      </c>
    </row>
    <row r="8" spans="1:15" x14ac:dyDescent="0.2"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15" x14ac:dyDescent="0.2">
      <c r="A9">
        <v>3</v>
      </c>
      <c r="B9" t="s">
        <v>238</v>
      </c>
      <c r="C9">
        <v>423.32</v>
      </c>
      <c r="D9" s="216">
        <f>C9/B1</f>
        <v>510.02409638554218</v>
      </c>
      <c r="E9" s="216"/>
      <c r="F9" s="216">
        <f>135.8/B1</f>
        <v>163.61445783132532</v>
      </c>
      <c r="G9" s="216">
        <f>287.52/B1</f>
        <v>346.40963855421688</v>
      </c>
      <c r="H9" s="216"/>
      <c r="I9" s="222">
        <f>F9+G9</f>
        <v>510.02409638554218</v>
      </c>
      <c r="J9" s="216">
        <f>D9/21*6</f>
        <v>145.72117039586919</v>
      </c>
      <c r="K9" s="216">
        <f>D9/21*6-F9</f>
        <v>-17.893287435456131</v>
      </c>
      <c r="L9" s="216">
        <f>D9/21*6-G9</f>
        <v>-200.68846815834769</v>
      </c>
      <c r="M9" s="216">
        <f>D9/21*3</f>
        <v>72.860585197934597</v>
      </c>
      <c r="N9" s="148"/>
      <c r="O9" s="215"/>
    </row>
    <row r="10" spans="1:15" x14ac:dyDescent="0.2">
      <c r="D10" s="216"/>
      <c r="E10" s="216"/>
      <c r="F10" s="216"/>
      <c r="G10" s="216"/>
      <c r="H10" s="216"/>
      <c r="I10" s="216"/>
      <c r="J10" s="216"/>
      <c r="K10" s="216"/>
      <c r="L10" s="216"/>
      <c r="M10" s="216"/>
    </row>
    <row r="11" spans="1:15" x14ac:dyDescent="0.2">
      <c r="A11">
        <v>4</v>
      </c>
      <c r="B11" t="s">
        <v>264</v>
      </c>
      <c r="C11">
        <v>65.02</v>
      </c>
      <c r="D11" s="216">
        <f>C11/B1</f>
        <v>78.337349397590359</v>
      </c>
      <c r="E11" s="216"/>
      <c r="F11" s="216"/>
      <c r="G11" s="216">
        <f>D11</f>
        <v>78.337349397590359</v>
      </c>
      <c r="J11" s="216">
        <f>D11/4</f>
        <v>19.58433734939759</v>
      </c>
      <c r="K11" s="216">
        <f>D11/4</f>
        <v>19.58433734939759</v>
      </c>
      <c r="L11" s="216">
        <f>-D11/4*3</f>
        <v>-58.753012048192772</v>
      </c>
      <c r="M11" s="216">
        <f>D11/4</f>
        <v>19.58433734939759</v>
      </c>
    </row>
    <row r="12" spans="1:15" x14ac:dyDescent="0.2">
      <c r="D12" s="216"/>
      <c r="E12" s="216"/>
      <c r="F12" s="216"/>
      <c r="G12" s="216"/>
      <c r="H12" s="216"/>
      <c r="I12" s="216"/>
      <c r="J12" s="216"/>
      <c r="K12" s="216"/>
      <c r="L12" s="216"/>
      <c r="M12" s="216"/>
    </row>
    <row r="13" spans="1:15" x14ac:dyDescent="0.2">
      <c r="A13">
        <v>5</v>
      </c>
      <c r="B13" t="s">
        <v>265</v>
      </c>
      <c r="C13">
        <v>44.7</v>
      </c>
      <c r="D13" s="216">
        <f>C13/B1</f>
        <v>53.855421686746993</v>
      </c>
      <c r="E13" s="216">
        <f>D13</f>
        <v>53.855421686746993</v>
      </c>
      <c r="F13" s="216"/>
      <c r="G13" s="216"/>
      <c r="H13" s="216"/>
      <c r="I13" s="216"/>
      <c r="J13" s="216">
        <f>-D13/3*2</f>
        <v>-35.903614457831331</v>
      </c>
      <c r="K13" s="216">
        <f>E13/3</f>
        <v>17.951807228915666</v>
      </c>
      <c r="L13" s="216">
        <f>E13/3</f>
        <v>17.951807228915666</v>
      </c>
      <c r="M13" s="216"/>
    </row>
    <row r="14" spans="1:15" x14ac:dyDescent="0.2">
      <c r="D14" s="216"/>
      <c r="E14" s="216"/>
      <c r="F14" s="216"/>
      <c r="G14" s="216"/>
      <c r="H14" s="216"/>
      <c r="I14" s="216"/>
      <c r="J14" s="216"/>
      <c r="K14" s="216"/>
      <c r="L14" s="216"/>
      <c r="M14" s="216"/>
    </row>
    <row r="15" spans="1:15" x14ac:dyDescent="0.2">
      <c r="A15">
        <v>6</v>
      </c>
      <c r="B15" t="s">
        <v>261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/>
      <c r="J15" s="216">
        <f>E15*15/55-E15</f>
        <v>-570.1309090909092</v>
      </c>
      <c r="K15" s="216">
        <f>E15/55*15</f>
        <v>213.79909090909092</v>
      </c>
      <c r="L15" s="216">
        <f>E15/55*15</f>
        <v>213.79909090909092</v>
      </c>
      <c r="M15" s="216">
        <f>D15/55*10</f>
        <v>142.53272727272727</v>
      </c>
    </row>
    <row r="16" spans="1:15" x14ac:dyDescent="0.2"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17" spans="1:14" x14ac:dyDescent="0.2">
      <c r="A17">
        <v>7</v>
      </c>
      <c r="B17" t="s">
        <v>242</v>
      </c>
      <c r="C17">
        <v>62</v>
      </c>
      <c r="D17" s="216"/>
      <c r="E17" s="216">
        <v>62</v>
      </c>
      <c r="F17" s="216"/>
      <c r="G17" s="216"/>
      <c r="H17" s="216"/>
      <c r="I17" s="216"/>
      <c r="J17" s="216">
        <f>-E17/3*2</f>
        <v>-41.333333333333336</v>
      </c>
      <c r="K17" s="216">
        <f>E17/3</f>
        <v>20.666666666666668</v>
      </c>
      <c r="L17" s="216">
        <v>0</v>
      </c>
      <c r="M17" s="216">
        <f>E17/3</f>
        <v>20.666666666666668</v>
      </c>
    </row>
    <row r="18" spans="1:14" x14ac:dyDescent="0.2">
      <c r="D18" s="216"/>
      <c r="E18" s="216"/>
      <c r="F18" s="216"/>
      <c r="G18" s="216"/>
      <c r="H18" s="216"/>
      <c r="I18" s="216"/>
      <c r="J18" s="216"/>
      <c r="K18" s="216"/>
      <c r="L18" s="216"/>
      <c r="M18" s="216"/>
    </row>
    <row r="19" spans="1:14" x14ac:dyDescent="0.2">
      <c r="A19">
        <v>8</v>
      </c>
      <c r="B19" t="s">
        <v>271</v>
      </c>
      <c r="C19">
        <f>(15*2)+10+10+10+12</f>
        <v>72</v>
      </c>
      <c r="D19" s="216"/>
      <c r="E19" s="216">
        <f>C19</f>
        <v>72</v>
      </c>
      <c r="F19" s="216"/>
      <c r="G19" s="216"/>
      <c r="H19" s="216"/>
      <c r="I19" s="216"/>
      <c r="J19" s="216">
        <f>-E19/3*2</f>
        <v>-48</v>
      </c>
      <c r="K19" s="216">
        <f>E19/3</f>
        <v>24</v>
      </c>
      <c r="L19" s="216">
        <f>E19/3</f>
        <v>24</v>
      </c>
      <c r="M19" s="216"/>
    </row>
    <row r="20" spans="1:14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4" x14ac:dyDescent="0.2">
      <c r="A21">
        <v>9</v>
      </c>
      <c r="B21" t="s">
        <v>272</v>
      </c>
      <c r="C21" s="88">
        <v>390</v>
      </c>
      <c r="D21" s="216">
        <f>C21/B1</f>
        <v>469.87951807228916</v>
      </c>
      <c r="F21" s="216"/>
      <c r="G21" s="216">
        <f>D21</f>
        <v>469.87951807228916</v>
      </c>
      <c r="H21" s="216"/>
      <c r="I21" s="216"/>
      <c r="J21" s="216">
        <f>G21/3</f>
        <v>156.62650602409639</v>
      </c>
      <c r="K21" s="216">
        <f>G21/3</f>
        <v>156.62650602409639</v>
      </c>
      <c r="L21" s="216">
        <f>(D21/3)-G21</f>
        <v>-313.25301204819277</v>
      </c>
    </row>
    <row r="22" spans="1:14" x14ac:dyDescent="0.2">
      <c r="D22" s="216"/>
      <c r="F22" s="216"/>
      <c r="G22" s="216"/>
      <c r="H22" s="216"/>
      <c r="I22" s="216"/>
      <c r="J22" s="216"/>
      <c r="K22" s="216"/>
      <c r="L22" s="216"/>
    </row>
    <row r="23" spans="1:14" x14ac:dyDescent="0.2">
      <c r="A23">
        <v>10</v>
      </c>
      <c r="B23" t="s">
        <v>273</v>
      </c>
      <c r="C23" s="223">
        <v>161.82</v>
      </c>
      <c r="D23" s="216">
        <f>C23/B1</f>
        <v>194.96385542168676</v>
      </c>
      <c r="F23" s="216">
        <f>D23</f>
        <v>194.96385542168676</v>
      </c>
      <c r="G23" s="216"/>
      <c r="H23" s="216"/>
      <c r="I23" s="216"/>
      <c r="J23" s="216">
        <f>F23/3</f>
        <v>64.987951807228924</v>
      </c>
      <c r="K23" s="216">
        <f>(F23/3)-F23</f>
        <v>-129.97590361445782</v>
      </c>
      <c r="L23" s="216">
        <f>F23/3</f>
        <v>64.987951807228924</v>
      </c>
    </row>
    <row r="24" spans="1:14" x14ac:dyDescent="0.2">
      <c r="D24" s="216"/>
      <c r="E24" s="216" t="s">
        <v>52</v>
      </c>
      <c r="F24" s="216"/>
      <c r="G24" s="216"/>
      <c r="H24" s="216"/>
      <c r="I24" s="216"/>
      <c r="J24" s="216"/>
      <c r="K24" s="216"/>
      <c r="L24" s="216"/>
      <c r="M24" s="216"/>
    </row>
    <row r="25" spans="1:14" ht="13.5" thickBot="1" x14ac:dyDescent="0.25">
      <c r="A25" t="s">
        <v>267</v>
      </c>
      <c r="E25" t="s">
        <v>52</v>
      </c>
      <c r="J25" s="219">
        <f>SUM(J5:J24)</f>
        <v>-290.90372463881505</v>
      </c>
      <c r="K25" s="219">
        <f>SUM(K5:K24)</f>
        <v>118.79338379491998</v>
      </c>
      <c r="L25" s="219">
        <f>SUM(L5:L24)</f>
        <v>-154.41147564283102</v>
      </c>
      <c r="M25" s="219">
        <f>SUM(M5:M24)</f>
        <v>326.52181648672615</v>
      </c>
      <c r="N25" s="216">
        <f>SUM(J25:M25)</f>
        <v>0</v>
      </c>
    </row>
    <row r="26" spans="1:14" ht="13.5" thickTop="1" x14ac:dyDescent="0.2"/>
    <row r="27" spans="1:14" x14ac:dyDescent="0.2">
      <c r="H27" s="92" t="s">
        <v>274</v>
      </c>
      <c r="I27" s="92"/>
      <c r="J27" s="224">
        <f>-(M25+J25)</f>
        <v>-35.618091847911103</v>
      </c>
      <c r="K27" s="92"/>
      <c r="L27" s="224">
        <f>M25+J25</f>
        <v>35.618091847911103</v>
      </c>
      <c r="M27" s="224">
        <f>-M25</f>
        <v>-326.52181648672615</v>
      </c>
      <c r="N27" s="92"/>
    </row>
    <row r="28" spans="1:14" x14ac:dyDescent="0.2">
      <c r="H28" s="92" t="s">
        <v>275</v>
      </c>
      <c r="I28" s="92"/>
      <c r="J28" s="92"/>
      <c r="K28" s="92"/>
      <c r="L28" s="224">
        <f>-K25</f>
        <v>-118.79338379491998</v>
      </c>
      <c r="M28" s="92"/>
      <c r="N28" s="92"/>
    </row>
    <row r="29" spans="1:14" x14ac:dyDescent="0.2">
      <c r="H29" s="92" t="s">
        <v>276</v>
      </c>
      <c r="I29" s="92"/>
      <c r="J29" s="92"/>
      <c r="K29" s="224">
        <f>K25</f>
        <v>118.79338379491998</v>
      </c>
      <c r="L29" s="92"/>
      <c r="M29" s="92"/>
      <c r="N29" s="92"/>
    </row>
    <row r="30" spans="1:14" x14ac:dyDescent="0.2">
      <c r="H30" s="92" t="s">
        <v>240</v>
      </c>
      <c r="I30" s="92"/>
      <c r="J30" s="225">
        <f>M25</f>
        <v>326.52181648672615</v>
      </c>
      <c r="K30" s="226"/>
      <c r="L30" s="226"/>
      <c r="M30" s="226"/>
      <c r="N30" s="226"/>
    </row>
    <row r="31" spans="1:14" x14ac:dyDescent="0.2">
      <c r="H31" s="92"/>
      <c r="I31" s="92"/>
      <c r="J31" s="224">
        <f>SUM(J27:J30)</f>
        <v>290.90372463881505</v>
      </c>
      <c r="K31" s="224">
        <f>SUM(K27:K30)</f>
        <v>118.79338379491998</v>
      </c>
      <c r="L31" s="224">
        <f>SUM(L27:L30)</f>
        <v>-83.175291947008873</v>
      </c>
      <c r="M31" s="224">
        <f>SUM(M27:M30)</f>
        <v>-326.52181648672615</v>
      </c>
      <c r="N31" s="224">
        <f>SUM(J31:M31)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247</v>
      </c>
    </row>
    <row r="3" spans="1:15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J3" t="s">
        <v>256</v>
      </c>
      <c r="K3" t="s">
        <v>257</v>
      </c>
      <c r="L3" t="s">
        <v>258</v>
      </c>
      <c r="M3" t="s">
        <v>259</v>
      </c>
    </row>
    <row r="5" spans="1:15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I5" s="216"/>
      <c r="J5" s="216">
        <f>-D5/3*2</f>
        <v>-53.333333333333336</v>
      </c>
      <c r="K5" s="216">
        <f>E5/3</f>
        <v>26.666666666666668</v>
      </c>
      <c r="L5" s="216">
        <f>E5/3</f>
        <v>26.666666666666668</v>
      </c>
      <c r="M5" s="216"/>
    </row>
    <row r="6" spans="1:15" x14ac:dyDescent="0.2">
      <c r="D6" s="216"/>
      <c r="E6" s="216"/>
      <c r="F6" s="216"/>
      <c r="G6" s="216"/>
      <c r="H6" s="216"/>
      <c r="I6" s="216"/>
      <c r="K6" s="158"/>
    </row>
    <row r="7" spans="1:15" x14ac:dyDescent="0.2">
      <c r="A7">
        <v>2</v>
      </c>
      <c r="B7" t="s">
        <v>236</v>
      </c>
      <c r="C7">
        <v>222</v>
      </c>
      <c r="D7" s="216">
        <v>283.51</v>
      </c>
      <c r="E7" s="216"/>
      <c r="F7" s="216">
        <f>D7</f>
        <v>283.51</v>
      </c>
      <c r="G7" s="216"/>
      <c r="H7" s="216"/>
      <c r="I7" s="216"/>
      <c r="J7" s="216">
        <f>D7/4</f>
        <v>70.877499999999998</v>
      </c>
      <c r="K7" s="216">
        <f>-D7/4*3</f>
        <v>-212.63249999999999</v>
      </c>
      <c r="L7" s="216">
        <f>D7/4</f>
        <v>70.877499999999998</v>
      </c>
      <c r="M7" s="216">
        <f>D7/4</f>
        <v>70.877499999999998</v>
      </c>
    </row>
    <row r="8" spans="1:15" x14ac:dyDescent="0.2"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15" x14ac:dyDescent="0.2">
      <c r="A9">
        <v>3</v>
      </c>
      <c r="B9" t="s">
        <v>238</v>
      </c>
      <c r="C9">
        <v>423.32</v>
      </c>
      <c r="D9" s="216">
        <f>C9/B1</f>
        <v>510.02409638554218</v>
      </c>
      <c r="E9" s="216"/>
      <c r="F9" s="216">
        <f>135.8/B1</f>
        <v>163.61445783132532</v>
      </c>
      <c r="G9" s="216">
        <f>287.52/B1</f>
        <v>346.40963855421688</v>
      </c>
      <c r="H9" s="216"/>
      <c r="I9" s="222">
        <f>F9+G9</f>
        <v>510.02409638554218</v>
      </c>
      <c r="J9" s="216">
        <f>D9/21*6</f>
        <v>145.72117039586919</v>
      </c>
      <c r="K9" s="216">
        <f>D9/21*6-F9</f>
        <v>-17.893287435456131</v>
      </c>
      <c r="L9" s="216">
        <f>D9/21*6-G9</f>
        <v>-200.68846815834769</v>
      </c>
      <c r="M9" s="216">
        <f>D9/21*3</f>
        <v>72.860585197934597</v>
      </c>
      <c r="N9" s="148"/>
      <c r="O9" s="215"/>
    </row>
    <row r="10" spans="1:15" x14ac:dyDescent="0.2">
      <c r="D10" s="216"/>
      <c r="E10" s="216"/>
      <c r="F10" s="216"/>
      <c r="G10" s="216"/>
      <c r="H10" s="216"/>
      <c r="I10" s="216"/>
      <c r="J10" s="216"/>
      <c r="K10" s="216"/>
      <c r="L10" s="216"/>
      <c r="M10" s="216"/>
    </row>
    <row r="11" spans="1:15" x14ac:dyDescent="0.2">
      <c r="A11">
        <v>4</v>
      </c>
      <c r="B11" t="s">
        <v>278</v>
      </c>
      <c r="C11">
        <v>65.02</v>
      </c>
      <c r="D11" s="216">
        <f>C11/B1</f>
        <v>78.337349397590359</v>
      </c>
      <c r="E11" s="216"/>
      <c r="F11" s="216"/>
      <c r="G11" s="216">
        <f>D11</f>
        <v>78.337349397590359</v>
      </c>
      <c r="J11" s="216">
        <f>D11/4</f>
        <v>19.58433734939759</v>
      </c>
      <c r="K11" s="216">
        <f>D11/4</f>
        <v>19.58433734939759</v>
      </c>
      <c r="L11" s="216">
        <f>-D11/4*3</f>
        <v>-58.753012048192772</v>
      </c>
      <c r="M11" s="216">
        <f>D11/4</f>
        <v>19.58433734939759</v>
      </c>
    </row>
    <row r="12" spans="1:15" x14ac:dyDescent="0.2">
      <c r="D12" s="216"/>
      <c r="E12" s="216"/>
      <c r="F12" s="216"/>
      <c r="G12" s="216"/>
      <c r="H12" s="216"/>
      <c r="I12" s="216"/>
      <c r="J12" s="216"/>
      <c r="K12" s="216"/>
      <c r="L12" s="216"/>
      <c r="M12" s="216"/>
    </row>
    <row r="13" spans="1:15" x14ac:dyDescent="0.2">
      <c r="A13">
        <v>5</v>
      </c>
      <c r="B13" t="s">
        <v>279</v>
      </c>
      <c r="C13" s="228">
        <v>44.7</v>
      </c>
      <c r="D13" s="216">
        <v>55.45</v>
      </c>
      <c r="E13" s="216">
        <f>D13</f>
        <v>55.45</v>
      </c>
      <c r="F13" s="216"/>
      <c r="G13" s="216"/>
      <c r="H13" s="216"/>
      <c r="I13" s="216"/>
      <c r="J13" s="216">
        <f>-D13/3*2</f>
        <v>-36.966666666666669</v>
      </c>
      <c r="K13" s="216">
        <f>E13/3</f>
        <v>18.483333333333334</v>
      </c>
      <c r="L13" s="216">
        <f>E13/3</f>
        <v>18.483333333333334</v>
      </c>
      <c r="M13" s="216"/>
    </row>
    <row r="14" spans="1:15" x14ac:dyDescent="0.2">
      <c r="D14" s="216"/>
      <c r="E14" s="216"/>
      <c r="F14" s="216"/>
      <c r="G14" s="216"/>
      <c r="H14" s="216"/>
      <c r="I14" s="216"/>
      <c r="J14" s="216"/>
      <c r="K14" s="216"/>
      <c r="L14" s="216"/>
      <c r="M14" s="216"/>
    </row>
    <row r="15" spans="1:15" x14ac:dyDescent="0.2">
      <c r="A15">
        <v>6</v>
      </c>
      <c r="B15" t="s">
        <v>281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/>
      <c r="J15" s="216">
        <f>E15*15/55-E15</f>
        <v>-570.1309090909092</v>
      </c>
      <c r="K15" s="216">
        <f>E15/55*15</f>
        <v>213.79909090909092</v>
      </c>
      <c r="L15" s="216">
        <f>E15/55*15</f>
        <v>213.79909090909092</v>
      </c>
      <c r="M15" s="216">
        <f>D15/55*10</f>
        <v>142.53272727272727</v>
      </c>
    </row>
    <row r="16" spans="1:15" x14ac:dyDescent="0.2"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17" spans="1:14" x14ac:dyDescent="0.2">
      <c r="A17">
        <v>7</v>
      </c>
      <c r="B17" t="s">
        <v>282</v>
      </c>
      <c r="C17">
        <v>62</v>
      </c>
      <c r="D17" s="216"/>
      <c r="E17" s="216">
        <v>76.38</v>
      </c>
      <c r="F17" s="216"/>
      <c r="G17" s="216"/>
      <c r="H17" s="216"/>
      <c r="I17" s="216"/>
      <c r="J17" s="216">
        <f>-E17/3*2</f>
        <v>-50.919999999999995</v>
      </c>
      <c r="K17" s="216">
        <f>E17/3</f>
        <v>25.459999999999997</v>
      </c>
      <c r="L17" s="216">
        <v>0</v>
      </c>
      <c r="M17" s="216">
        <f>E17/3</f>
        <v>25.459999999999997</v>
      </c>
    </row>
    <row r="18" spans="1:14" x14ac:dyDescent="0.2">
      <c r="D18" s="216"/>
      <c r="E18" s="216"/>
      <c r="F18" s="216"/>
      <c r="G18" s="216"/>
      <c r="H18" s="216"/>
      <c r="I18" s="216"/>
      <c r="J18" s="216"/>
      <c r="K18" s="216"/>
      <c r="L18" s="216"/>
      <c r="M18" s="216"/>
    </row>
    <row r="19" spans="1:14" x14ac:dyDescent="0.2">
      <c r="A19">
        <v>8</v>
      </c>
      <c r="B19" t="s">
        <v>271</v>
      </c>
      <c r="C19">
        <f>(15*2)+10+10+10+12</f>
        <v>72</v>
      </c>
      <c r="D19" s="216"/>
      <c r="E19" s="216">
        <f>C19</f>
        <v>72</v>
      </c>
      <c r="F19" s="216"/>
      <c r="G19" s="216"/>
      <c r="H19" s="216"/>
      <c r="I19" s="216"/>
      <c r="J19" s="216">
        <f>-E19/3*2</f>
        <v>-48</v>
      </c>
      <c r="K19" s="216">
        <f>E19/3</f>
        <v>24</v>
      </c>
      <c r="L19" s="216">
        <f>E19/3</f>
        <v>24</v>
      </c>
      <c r="M19" s="216"/>
    </row>
    <row r="20" spans="1:14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4" x14ac:dyDescent="0.2">
      <c r="A21">
        <v>9</v>
      </c>
      <c r="B21" t="s">
        <v>272</v>
      </c>
      <c r="C21" s="88">
        <v>390</v>
      </c>
      <c r="D21" s="216">
        <f>C21/B1</f>
        <v>469.87951807228916</v>
      </c>
      <c r="F21" s="216"/>
      <c r="G21" s="216">
        <f>D21</f>
        <v>469.87951807228916</v>
      </c>
      <c r="H21" s="216"/>
      <c r="I21" s="216"/>
      <c r="J21" s="216">
        <f>G21/3</f>
        <v>156.62650602409639</v>
      </c>
      <c r="K21" s="216">
        <f>G21/3</f>
        <v>156.62650602409639</v>
      </c>
      <c r="L21" s="216">
        <f>(D21/3)-G21</f>
        <v>-313.25301204819277</v>
      </c>
    </row>
    <row r="22" spans="1:14" x14ac:dyDescent="0.2">
      <c r="D22" s="216"/>
      <c r="F22" s="216"/>
      <c r="G22" s="216"/>
      <c r="H22" s="216"/>
      <c r="I22" s="216"/>
      <c r="J22" s="216"/>
      <c r="K22" s="216"/>
      <c r="L22" s="216"/>
    </row>
    <row r="23" spans="1:14" x14ac:dyDescent="0.2">
      <c r="A23">
        <v>10</v>
      </c>
      <c r="B23" t="s">
        <v>273</v>
      </c>
      <c r="C23" s="227">
        <v>161.82</v>
      </c>
      <c r="D23" s="216">
        <v>201.7</v>
      </c>
      <c r="F23" s="216">
        <f>D23</f>
        <v>201.7</v>
      </c>
      <c r="G23" s="216"/>
      <c r="H23" s="216"/>
      <c r="I23" s="216"/>
      <c r="J23" s="216">
        <f>F23/3</f>
        <v>67.233333333333334</v>
      </c>
      <c r="K23" s="216">
        <f>(F23/3)-F23</f>
        <v>-134.46666666666664</v>
      </c>
      <c r="L23" s="216">
        <f>F23/3</f>
        <v>67.233333333333334</v>
      </c>
    </row>
    <row r="24" spans="1:14" x14ac:dyDescent="0.2">
      <c r="D24" s="216"/>
      <c r="E24" s="216" t="s">
        <v>52</v>
      </c>
      <c r="F24" s="216"/>
      <c r="G24" s="216"/>
      <c r="H24" s="216"/>
      <c r="I24" s="216"/>
      <c r="J24" s="216"/>
      <c r="K24" s="216"/>
      <c r="L24" s="216"/>
      <c r="M24" s="216"/>
    </row>
    <row r="25" spans="1:14" x14ac:dyDescent="0.2">
      <c r="A25">
        <v>11</v>
      </c>
      <c r="B25" t="s">
        <v>277</v>
      </c>
      <c r="C25">
        <v>265.12</v>
      </c>
      <c r="D25" s="216">
        <v>331.36</v>
      </c>
      <c r="E25" s="216"/>
      <c r="F25" s="216">
        <f>D25</f>
        <v>331.36</v>
      </c>
      <c r="G25" s="216"/>
      <c r="H25" s="216"/>
      <c r="I25" s="216"/>
      <c r="J25" s="216">
        <f>F25/2</f>
        <v>165.68</v>
      </c>
      <c r="K25" s="216">
        <f>(F25/2)-F25</f>
        <v>-165.68</v>
      </c>
      <c r="L25" s="216"/>
      <c r="M25" s="216"/>
    </row>
    <row r="26" spans="1:14" x14ac:dyDescent="0.2">
      <c r="D26" s="216"/>
      <c r="E26" s="216"/>
      <c r="F26" s="216"/>
      <c r="G26" s="216"/>
      <c r="H26" s="216"/>
      <c r="I26" s="216"/>
      <c r="J26" s="216"/>
      <c r="K26" s="216"/>
      <c r="L26" s="216"/>
      <c r="M26" s="216"/>
    </row>
    <row r="27" spans="1:14" ht="13.5" thickBot="1" x14ac:dyDescent="0.25">
      <c r="A27" t="s">
        <v>267</v>
      </c>
      <c r="E27" t="s">
        <v>52</v>
      </c>
      <c r="J27" s="233">
        <f>SUM(J5:J24)</f>
        <v>-299.30806198821261</v>
      </c>
      <c r="K27" s="233">
        <f>SUM(K5:K24)</f>
        <v>119.6274801804621</v>
      </c>
      <c r="L27" s="233">
        <f>SUM(L5:L24)</f>
        <v>-151.63456801230893</v>
      </c>
      <c r="M27" s="233">
        <f>SUM(M5:M24)</f>
        <v>331.31514982005945</v>
      </c>
      <c r="N27" s="216">
        <f>SUM(J27:M27)</f>
        <v>0</v>
      </c>
    </row>
    <row r="28" spans="1:14" ht="13.5" thickTop="1" x14ac:dyDescent="0.2"/>
    <row r="29" spans="1:14" x14ac:dyDescent="0.2">
      <c r="H29" s="229" t="s">
        <v>274</v>
      </c>
      <c r="I29" s="229"/>
      <c r="J29" s="230">
        <f>-(M27+J27)</f>
        <v>-32.007087831846832</v>
      </c>
      <c r="K29" s="229"/>
      <c r="L29" s="230">
        <f>M27+J27</f>
        <v>32.007087831846832</v>
      </c>
      <c r="M29" s="230">
        <f>-M27</f>
        <v>-331.31514982005945</v>
      </c>
      <c r="N29" s="229"/>
    </row>
    <row r="30" spans="1:14" x14ac:dyDescent="0.2">
      <c r="H30" s="229" t="s">
        <v>275</v>
      </c>
      <c r="I30" s="229"/>
      <c r="J30" s="229"/>
      <c r="K30" s="229"/>
      <c r="L30" s="230">
        <f>-K27</f>
        <v>-119.6274801804621</v>
      </c>
      <c r="M30" s="229"/>
      <c r="N30" s="229"/>
    </row>
    <row r="31" spans="1:14" x14ac:dyDescent="0.2">
      <c r="H31" s="229" t="s">
        <v>276</v>
      </c>
      <c r="I31" s="229"/>
      <c r="J31" s="229"/>
      <c r="K31" s="230">
        <f>K27</f>
        <v>119.6274801804621</v>
      </c>
      <c r="L31" s="229"/>
      <c r="M31" s="229"/>
      <c r="N31" s="229"/>
    </row>
    <row r="32" spans="1:14" x14ac:dyDescent="0.2">
      <c r="H32" s="229" t="s">
        <v>240</v>
      </c>
      <c r="I32" s="229"/>
      <c r="J32" s="231">
        <f>M27</f>
        <v>331.31514982005945</v>
      </c>
      <c r="K32" s="232"/>
      <c r="L32" s="232"/>
      <c r="M32" s="232"/>
      <c r="N32" s="232"/>
    </row>
    <row r="33" spans="8:14" x14ac:dyDescent="0.2">
      <c r="H33" s="229"/>
      <c r="I33" s="229"/>
      <c r="J33" s="230">
        <f>SUM(J29:J32)</f>
        <v>299.30806198821261</v>
      </c>
      <c r="K33" s="230">
        <f>SUM(K29:K32)</f>
        <v>119.6274801804621</v>
      </c>
      <c r="L33" s="230">
        <f>SUM(L29:L32)</f>
        <v>-87.620392348615269</v>
      </c>
      <c r="M33" s="230">
        <f>SUM(M29:M32)</f>
        <v>-331.31514982005945</v>
      </c>
      <c r="N33" s="230">
        <f>SUM(J33:M33)</f>
        <v>0</v>
      </c>
    </row>
    <row r="36" spans="8:14" x14ac:dyDescent="0.2">
      <c r="J36" s="218">
        <f>325.74+J27</f>
        <v>26.431938011787395</v>
      </c>
      <c r="K36" s="218">
        <f>K27</f>
        <v>119.6274801804621</v>
      </c>
      <c r="L36" s="218">
        <f>L27</f>
        <v>-151.63456801230893</v>
      </c>
      <c r="M36" s="218">
        <f>M27-325.74</f>
        <v>5.5751498200594369</v>
      </c>
      <c r="N36" s="216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Chambery to Base Camps - kms</vt:lpstr>
      <vt:lpstr>14 days Climb Stats</vt:lpstr>
      <vt:lpstr>19 days - 18 nights Schedule</vt:lpstr>
      <vt:lpstr>19 days-18 nights Budget</vt:lpstr>
      <vt:lpstr>Climbs specs</vt:lpstr>
      <vt:lpstr>Shared costs</vt:lpstr>
      <vt:lpstr>Shared costs (2)</vt:lpstr>
      <vt:lpstr>Shared costs (3)</vt:lpstr>
      <vt:lpstr>Shared costs (4)</vt:lpstr>
      <vt:lpstr>Rental car contributions</vt:lpstr>
      <vt:lpstr>Lufthansa</vt:lpstr>
      <vt:lpstr>Johnston 2 mths travel schedule</vt:lpstr>
      <vt:lpstr>Johnston 2 mths travel net</vt:lpstr>
      <vt:lpstr>Seattle Airport to train</vt:lpstr>
      <vt:lpstr>Accommodation</vt:lpstr>
      <vt:lpstr>'14 days Climb Stats'!Print_Area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2012-01-15T20:44:42Z</cp:lastPrinted>
  <dcterms:created xsi:type="dcterms:W3CDTF">2012-01-14T01:56:35Z</dcterms:created>
  <dcterms:modified xsi:type="dcterms:W3CDTF">2012-10-05T04:09:20Z</dcterms:modified>
</cp:coreProperties>
</file>