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2" activeTab="4"/>
  </bookViews>
  <sheets>
    <sheet name="2013 Flights" sheetId="19" r:id="rId1"/>
    <sheet name="2013-16 days Climb Stats" sheetId="20" r:id="rId2"/>
    <sheet name="2012-14 days Climb Stats" sheetId="2" r:id="rId3"/>
    <sheet name="2012 19 days-18 nights Schedule" sheetId="5" r:id="rId4"/>
    <sheet name="2013 - 18 days Budget" sheetId="18" r:id="rId5"/>
    <sheet name="Climbs specs" sheetId="3" r:id="rId6"/>
    <sheet name="Shared costs (4)" sheetId="17" r:id="rId7"/>
    <sheet name="Rental car contributions" sheetId="12" r:id="rId8"/>
    <sheet name="Accommodation" sheetId="10" r:id="rId9"/>
  </sheets>
  <definedNames>
    <definedName name="_xlnm.Print_Area" localSheetId="2">'2012-14 days Climb Stats'!$A$1:$AD$22</definedName>
    <definedName name="_xlnm.Print_Area" localSheetId="1">'2013-16 days Climb Stats'!$B$1:$AE$11</definedName>
  </definedNames>
  <calcPr calcId="145621"/>
</workbook>
</file>

<file path=xl/calcChain.xml><?xml version="1.0" encoding="utf-8"?>
<calcChain xmlns="http://schemas.openxmlformats.org/spreadsheetml/2006/main">
  <c r="I12" i="18" l="1"/>
  <c r="H12" i="18"/>
  <c r="M7" i="19" l="1"/>
  <c r="O7" i="19"/>
  <c r="Q27" i="19"/>
  <c r="T27" i="19"/>
  <c r="G19" i="20" l="1"/>
  <c r="G18" i="20"/>
  <c r="G11" i="20"/>
  <c r="C6" i="19"/>
  <c r="D3" i="20" l="1"/>
  <c r="E3" i="20" s="1"/>
  <c r="C23" i="19" l="1"/>
  <c r="D23" i="19" s="1"/>
  <c r="Q6" i="19"/>
  <c r="I6" i="19"/>
  <c r="R21" i="20" l="1"/>
  <c r="O21" i="20"/>
  <c r="H21" i="20"/>
  <c r="D6" i="19" l="1"/>
  <c r="C7" i="19" l="1"/>
  <c r="C8" i="19" l="1"/>
  <c r="D7" i="19"/>
  <c r="D4" i="20"/>
  <c r="E4" i="20" s="1"/>
  <c r="AB9" i="20"/>
  <c r="Y9" i="20"/>
  <c r="U9" i="20"/>
  <c r="N9" i="20"/>
  <c r="P9" i="20" s="1"/>
  <c r="K9" i="20"/>
  <c r="S9" i="20" s="1"/>
  <c r="W9" i="20" s="1"/>
  <c r="Z9" i="20" s="1"/>
  <c r="AD9" i="20" s="1"/>
  <c r="AB8" i="20"/>
  <c r="Y8" i="20"/>
  <c r="U8" i="20"/>
  <c r="N8" i="20"/>
  <c r="P8" i="20" s="1"/>
  <c r="K8" i="20"/>
  <c r="S8" i="20" s="1"/>
  <c r="W8" i="20" s="1"/>
  <c r="Z8" i="20" s="1"/>
  <c r="AD8" i="20" s="1"/>
  <c r="Y7" i="20"/>
  <c r="V7" i="20"/>
  <c r="S7" i="20"/>
  <c r="W7" i="20" s="1"/>
  <c r="Z7" i="20" s="1"/>
  <c r="AD7" i="20" s="1"/>
  <c r="N7" i="20"/>
  <c r="P7" i="20" s="1"/>
  <c r="I7" i="20"/>
  <c r="AB6" i="20"/>
  <c r="Y6" i="20"/>
  <c r="U6" i="20"/>
  <c r="N6" i="20"/>
  <c r="P6" i="20" s="1"/>
  <c r="K6" i="20"/>
  <c r="S6" i="20" s="1"/>
  <c r="W6" i="20" s="1"/>
  <c r="Z6" i="20" s="1"/>
  <c r="AD6" i="20" s="1"/>
  <c r="AB5" i="20"/>
  <c r="Y5" i="20"/>
  <c r="U5" i="20"/>
  <c r="N5" i="20"/>
  <c r="P5" i="20" s="1"/>
  <c r="K5" i="20"/>
  <c r="S5" i="20" s="1"/>
  <c r="W5" i="20" s="1"/>
  <c r="Z5" i="20" s="1"/>
  <c r="AD5" i="20" s="1"/>
  <c r="AB4" i="20"/>
  <c r="Y4" i="20"/>
  <c r="U4" i="20"/>
  <c r="N4" i="20"/>
  <c r="K4" i="20"/>
  <c r="S4" i="20" s="1"/>
  <c r="W4" i="20" s="1"/>
  <c r="Z4" i="20" s="1"/>
  <c r="AD4" i="20" s="1"/>
  <c r="AB17" i="20"/>
  <c r="Y17" i="20"/>
  <c r="V17" i="20"/>
  <c r="U17" i="20"/>
  <c r="N17" i="20"/>
  <c r="P17" i="20" s="1"/>
  <c r="J17" i="20"/>
  <c r="K17" i="20" s="1"/>
  <c r="S17" i="20" s="1"/>
  <c r="W17" i="20" s="1"/>
  <c r="Z17" i="20" s="1"/>
  <c r="AD17" i="20" s="1"/>
  <c r="AC16" i="20"/>
  <c r="AB16" i="20"/>
  <c r="Y16" i="20"/>
  <c r="U16" i="20"/>
  <c r="N16" i="20"/>
  <c r="P16" i="20" s="1"/>
  <c r="K16" i="20"/>
  <c r="S16" i="20" s="1"/>
  <c r="W16" i="20" s="1"/>
  <c r="Z16" i="20" s="1"/>
  <c r="AB15" i="20"/>
  <c r="Y15" i="20"/>
  <c r="U15" i="20"/>
  <c r="N15" i="20"/>
  <c r="P15" i="20" s="1"/>
  <c r="K15" i="20"/>
  <c r="S15" i="20" s="1"/>
  <c r="W15" i="20" s="1"/>
  <c r="Z15" i="20" s="1"/>
  <c r="AD15" i="20" s="1"/>
  <c r="AC14" i="20"/>
  <c r="AA14" i="20"/>
  <c r="Y14" i="20"/>
  <c r="U14" i="20"/>
  <c r="V14" i="20" s="1"/>
  <c r="N14" i="20"/>
  <c r="P14" i="20" s="1"/>
  <c r="K14" i="20"/>
  <c r="S14" i="20" s="1"/>
  <c r="W14" i="20" s="1"/>
  <c r="Z14" i="20" s="1"/>
  <c r="AD14" i="20" s="1"/>
  <c r="AB13" i="20"/>
  <c r="Y13" i="20"/>
  <c r="U13" i="20"/>
  <c r="N13" i="20"/>
  <c r="P13" i="20" s="1"/>
  <c r="K13" i="20"/>
  <c r="S13" i="20" s="1"/>
  <c r="W13" i="20" s="1"/>
  <c r="Z13" i="20" s="1"/>
  <c r="AD13" i="20" s="1"/>
  <c r="AB12" i="20"/>
  <c r="Y12" i="20"/>
  <c r="U12" i="20"/>
  <c r="N12" i="20"/>
  <c r="P12" i="20" s="1"/>
  <c r="K12" i="20"/>
  <c r="S12" i="20" s="1"/>
  <c r="W12" i="20" s="1"/>
  <c r="Z12" i="20" s="1"/>
  <c r="AD12" i="20" s="1"/>
  <c r="C9" i="19" l="1"/>
  <c r="D8" i="19"/>
  <c r="D5" i="20"/>
  <c r="E5" i="20" s="1"/>
  <c r="P4" i="20"/>
  <c r="N21" i="20"/>
  <c r="Y21" i="20"/>
  <c r="U7" i="20"/>
  <c r="V21" i="20"/>
  <c r="AD16" i="20"/>
  <c r="AB14" i="20"/>
  <c r="Q5" i="19"/>
  <c r="V26" i="19"/>
  <c r="W26" i="19" s="1"/>
  <c r="H24" i="19"/>
  <c r="I5" i="19"/>
  <c r="O26" i="19"/>
  <c r="R5" i="19"/>
  <c r="C10" i="19" l="1"/>
  <c r="D9" i="19"/>
  <c r="D6" i="20"/>
  <c r="E6" i="20" s="1"/>
  <c r="B10" i="18"/>
  <c r="C11" i="19" l="1"/>
  <c r="D10" i="19"/>
  <c r="D7" i="20"/>
  <c r="E7" i="20" s="1"/>
  <c r="C12" i="18"/>
  <c r="F6" i="18"/>
  <c r="E12" i="18"/>
  <c r="F12" i="18"/>
  <c r="F14" i="18"/>
  <c r="E14" i="18"/>
  <c r="C14" i="18"/>
  <c r="D8" i="18"/>
  <c r="E8" i="18"/>
  <c r="E18" i="18"/>
  <c r="D18" i="18"/>
  <c r="E16" i="18"/>
  <c r="D16" i="18"/>
  <c r="C12" i="19" l="1"/>
  <c r="D11" i="19"/>
  <c r="D8" i="20"/>
  <c r="C16" i="18"/>
  <c r="C13" i="19" l="1"/>
  <c r="D12" i="19"/>
  <c r="D9" i="20"/>
  <c r="E9" i="20" s="1"/>
  <c r="E8" i="20" s="1"/>
  <c r="C10" i="18"/>
  <c r="E10" i="18" s="1"/>
  <c r="F10" i="18" s="1"/>
  <c r="C18" i="18"/>
  <c r="F18" i="18" s="1"/>
  <c r="F16" i="18"/>
  <c r="C8" i="18"/>
  <c r="F8" i="18" s="1"/>
  <c r="E5" i="18"/>
  <c r="C14" i="19" l="1"/>
  <c r="D13" i="19"/>
  <c r="D10" i="20"/>
  <c r="E10" i="20" s="1"/>
  <c r="F20" i="18"/>
  <c r="F24" i="18" s="1"/>
  <c r="C15" i="19" l="1"/>
  <c r="D14" i="19"/>
  <c r="D11" i="20"/>
  <c r="E11" i="20" s="1"/>
  <c r="N36" i="17"/>
  <c r="M36" i="17"/>
  <c r="L36" i="17"/>
  <c r="K36" i="17"/>
  <c r="J36" i="17"/>
  <c r="J29" i="17"/>
  <c r="L29" i="17"/>
  <c r="C16" i="19" l="1"/>
  <c r="D15" i="19"/>
  <c r="D12" i="20"/>
  <c r="K25" i="17"/>
  <c r="J25" i="17"/>
  <c r="F25" i="17"/>
  <c r="D13" i="20" l="1"/>
  <c r="E12" i="20"/>
  <c r="C17" i="19"/>
  <c r="D16" i="19"/>
  <c r="F23" i="17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D14" i="20" l="1"/>
  <c r="E13" i="20"/>
  <c r="C18" i="19"/>
  <c r="D17" i="19"/>
  <c r="K11" i="17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C19" i="19" l="1"/>
  <c r="D18" i="19"/>
  <c r="D15" i="20"/>
  <c r="E14" i="20"/>
  <c r="K13" i="17"/>
  <c r="D16" i="20" l="1"/>
  <c r="E15" i="20"/>
  <c r="C20" i="19"/>
  <c r="D19" i="19"/>
  <c r="A2" i="12"/>
  <c r="A3" i="12" s="1"/>
  <c r="D15" i="17" s="1"/>
  <c r="C21" i="19" l="1"/>
  <c r="D20" i="19"/>
  <c r="D17" i="20"/>
  <c r="E16" i="20"/>
  <c r="M15" i="17"/>
  <c r="M27" i="17" s="1"/>
  <c r="E15" i="17"/>
  <c r="D7" i="12"/>
  <c r="D6" i="12"/>
  <c r="D18" i="20" l="1"/>
  <c r="E17" i="20"/>
  <c r="C22" i="19"/>
  <c r="D22" i="19" s="1"/>
  <c r="D21" i="19"/>
  <c r="J32" i="17"/>
  <c r="M29" i="17"/>
  <c r="M33" i="17" s="1"/>
  <c r="L15" i="17"/>
  <c r="L27" i="17" s="1"/>
  <c r="K15" i="17"/>
  <c r="K27" i="17" s="1"/>
  <c r="J15" i="17"/>
  <c r="J27" i="17" s="1"/>
  <c r="N27" i="17" s="1"/>
  <c r="D19" i="20" l="1"/>
  <c r="E18" i="20"/>
  <c r="J33" i="17"/>
  <c r="K31" i="17"/>
  <c r="K33" i="17" s="1"/>
  <c r="L30" i="17"/>
  <c r="E7" i="12"/>
  <c r="E6" i="12"/>
  <c r="B1" i="12"/>
  <c r="B6" i="12" s="1"/>
  <c r="B7" i="12" s="1"/>
  <c r="E19" i="20" l="1"/>
  <c r="D20" i="20"/>
  <c r="E20" i="20" s="1"/>
  <c r="L33" i="17"/>
  <c r="N33" i="17" s="1"/>
  <c r="C1" i="12"/>
  <c r="F7" i="12"/>
  <c r="F6" i="12" l="1"/>
  <c r="F8" i="12" s="1"/>
  <c r="G1" i="12"/>
  <c r="G2" i="12"/>
  <c r="I2" i="12" l="1"/>
  <c r="E2" i="12"/>
  <c r="F2" i="12" s="1"/>
  <c r="I1" i="12"/>
  <c r="I3" i="12" s="1"/>
  <c r="E1" i="12"/>
  <c r="F1" i="12" s="1"/>
  <c r="F3" i="12" s="1"/>
  <c r="M11" i="10"/>
  <c r="M7" i="10" l="1"/>
  <c r="M23" i="10" l="1"/>
  <c r="M20" i="10"/>
  <c r="E5" i="10" l="1"/>
  <c r="C5" i="10"/>
  <c r="E5" i="2" l="1"/>
  <c r="E6" i="2"/>
  <c r="E7" i="2"/>
  <c r="E8" i="2"/>
  <c r="E4" i="2"/>
  <c r="X14" i="2" l="1"/>
  <c r="V14" i="2"/>
  <c r="Y14" i="2" s="1"/>
  <c r="AC14" i="2" s="1"/>
  <c r="R14" i="2"/>
  <c r="U14" i="2"/>
  <c r="T14" i="2" l="1"/>
  <c r="M14" i="2"/>
  <c r="O14" i="2" s="1"/>
  <c r="H14" i="2"/>
  <c r="C14" i="2"/>
  <c r="B3" i="2" l="1"/>
  <c r="C3" i="2"/>
  <c r="D3" i="2" s="1"/>
  <c r="D21" i="2" l="1"/>
  <c r="D17" i="2"/>
  <c r="B17" i="2"/>
  <c r="B10" i="2"/>
  <c r="D10" i="2"/>
  <c r="C10" i="2"/>
  <c r="D4" i="2" l="1"/>
  <c r="B6" i="5"/>
  <c r="C6" i="5" s="1"/>
  <c r="B7" i="5"/>
  <c r="C7" i="5" s="1"/>
  <c r="B8" i="5"/>
  <c r="C8" i="5" s="1"/>
  <c r="B9" i="5"/>
  <c r="C9" i="5" s="1"/>
  <c r="B10" i="5"/>
  <c r="B11" i="5"/>
  <c r="C11" i="5" s="1"/>
  <c r="B12" i="5"/>
  <c r="C12" i="5" s="1"/>
  <c r="B13" i="5"/>
  <c r="C13" i="5" s="1"/>
  <c r="B14" i="5"/>
  <c r="C14" i="5" s="1"/>
  <c r="B15" i="5"/>
  <c r="C15" i="5" s="1"/>
  <c r="B16" i="5"/>
  <c r="B17" i="5"/>
  <c r="C17" i="5" s="1"/>
  <c r="B18" i="5"/>
  <c r="C18" i="5" s="1"/>
  <c r="B5" i="5"/>
  <c r="C16" i="5" l="1"/>
  <c r="C31" i="10"/>
  <c r="D31" i="10" s="1"/>
  <c r="E15" i="10"/>
  <c r="C10" i="5"/>
  <c r="C15" i="10"/>
  <c r="D15" i="10" s="1"/>
  <c r="E6" i="10"/>
  <c r="B4" i="5"/>
  <c r="C4" i="5" s="1"/>
  <c r="C6" i="10"/>
  <c r="D6" i="10" s="1"/>
  <c r="C5" i="5"/>
  <c r="B19" i="5"/>
  <c r="E31" i="10" s="1"/>
  <c r="F26" i="2"/>
  <c r="F6" i="10" l="1"/>
  <c r="G6" i="10"/>
  <c r="F31" i="10"/>
  <c r="G31" i="10"/>
  <c r="F15" i="10"/>
  <c r="G15" i="10"/>
  <c r="C19" i="5"/>
  <c r="B20" i="5"/>
  <c r="G33" i="10" l="1"/>
  <c r="M6" i="10"/>
  <c r="M8" i="10" s="1"/>
  <c r="M10" i="10" s="1"/>
  <c r="G16" i="10"/>
  <c r="G17" i="10" s="1"/>
  <c r="G18" i="10" s="1"/>
  <c r="J15" i="10"/>
  <c r="C20" i="5"/>
  <c r="B21" i="5"/>
  <c r="G19" i="10" l="1"/>
  <c r="G20" i="10" s="1"/>
  <c r="J19" i="10" s="1"/>
  <c r="M19" i="10" s="1"/>
  <c r="J18" i="10"/>
  <c r="M18" i="10" s="1"/>
  <c r="M15" i="10"/>
  <c r="M21" i="10" s="1"/>
  <c r="C21" i="5"/>
  <c r="B22" i="5"/>
  <c r="C22" i="5" s="1"/>
  <c r="U9" i="2"/>
  <c r="I9" i="2"/>
  <c r="J21" i="10" l="1"/>
  <c r="J15" i="2"/>
  <c r="R15" i="2" s="1"/>
  <c r="V15" i="2" s="1"/>
  <c r="Y15" i="2" s="1"/>
  <c r="AC15" i="2" s="1"/>
  <c r="M15" i="2"/>
  <c r="O15" i="2" s="1"/>
  <c r="M13" i="2"/>
  <c r="O13" i="2" s="1"/>
  <c r="J13" i="2"/>
  <c r="R13" i="2" s="1"/>
  <c r="V13" i="2" s="1"/>
  <c r="Y13" i="2" s="1"/>
  <c r="AC13" i="2" s="1"/>
  <c r="T16" i="2"/>
  <c r="D12" i="2"/>
  <c r="D13" i="2"/>
  <c r="D15" i="2"/>
  <c r="D14" i="2" s="1"/>
  <c r="D16" i="2"/>
  <c r="D18" i="2"/>
  <c r="D19" i="2"/>
  <c r="D20" i="2"/>
  <c r="D11" i="2"/>
  <c r="D9" i="2"/>
  <c r="D8" i="2"/>
  <c r="D7" i="2"/>
  <c r="D6" i="2"/>
  <c r="D5" i="2"/>
  <c r="J12" i="2"/>
  <c r="R12" i="2" s="1"/>
  <c r="V12" i="2" s="1"/>
  <c r="Y12" i="2" s="1"/>
  <c r="AC12" i="2" s="1"/>
  <c r="M12" i="2"/>
  <c r="O12" i="2" s="1"/>
  <c r="M11" i="2"/>
  <c r="O11" i="2" s="1"/>
  <c r="J11" i="2"/>
  <c r="R11" i="2" s="1"/>
  <c r="V11" i="2" s="1"/>
  <c r="Y11" i="2" s="1"/>
  <c r="AC11" i="2" s="1"/>
  <c r="M9" i="2"/>
  <c r="O9" i="2" s="1"/>
  <c r="J9" i="2"/>
  <c r="R9" i="2" s="1"/>
  <c r="V9" i="2" s="1"/>
  <c r="Y9" i="2" s="1"/>
  <c r="AC9" i="2" s="1"/>
  <c r="AA7" i="2"/>
  <c r="M7" i="2"/>
  <c r="O7" i="2" s="1"/>
  <c r="J7" i="2"/>
  <c r="R7" i="2" s="1"/>
  <c r="V7" i="2" s="1"/>
  <c r="Y7" i="2" s="1"/>
  <c r="AC7" i="2" s="1"/>
  <c r="AB6" i="2"/>
  <c r="Z6" i="2"/>
  <c r="T6" i="2"/>
  <c r="U6" i="2" s="1"/>
  <c r="M6" i="2"/>
  <c r="O6" i="2" s="1"/>
  <c r="J6" i="2"/>
  <c r="R6" i="2" s="1"/>
  <c r="V6" i="2" s="1"/>
  <c r="Y6" i="2" s="1"/>
  <c r="AC6" i="2" s="1"/>
  <c r="M5" i="2"/>
  <c r="O5" i="2" s="1"/>
  <c r="J5" i="2"/>
  <c r="R5" i="2" s="1"/>
  <c r="V5" i="2" s="1"/>
  <c r="Y5" i="2" s="1"/>
  <c r="AC5" i="2" s="1"/>
  <c r="N21" i="2"/>
  <c r="T5" i="2"/>
  <c r="T7" i="2"/>
  <c r="T8" i="2"/>
  <c r="T9" i="2"/>
  <c r="T11" i="2"/>
  <c r="T12" i="2"/>
  <c r="T13" i="2"/>
  <c r="T15" i="2"/>
  <c r="T4" i="2"/>
  <c r="AB8" i="2"/>
  <c r="AA20" i="2"/>
  <c r="AA18" i="2"/>
  <c r="AA16" i="2"/>
  <c r="AA8" i="2"/>
  <c r="AA9" i="2"/>
  <c r="AA11" i="2"/>
  <c r="AA12" i="2"/>
  <c r="AA13" i="2"/>
  <c r="AA15" i="2"/>
  <c r="AA5" i="2"/>
  <c r="AA6" i="2"/>
  <c r="AA4" i="2"/>
  <c r="J8" i="2"/>
  <c r="X5" i="2"/>
  <c r="X6" i="2"/>
  <c r="X7" i="2"/>
  <c r="X8" i="2"/>
  <c r="X9" i="2"/>
  <c r="X11" i="2"/>
  <c r="X12" i="2"/>
  <c r="X13" i="2"/>
  <c r="X15" i="2"/>
  <c r="X16" i="2"/>
  <c r="X18" i="2"/>
  <c r="X19" i="2"/>
  <c r="X20" i="2"/>
  <c r="X4" i="2"/>
  <c r="X21" i="2" s="1"/>
  <c r="Q21" i="2"/>
  <c r="G21" i="2"/>
  <c r="J4" i="2"/>
  <c r="J16" i="2"/>
  <c r="R16" i="2" s="1"/>
  <c r="V16" i="2" s="1"/>
  <c r="Y16" i="2" s="1"/>
  <c r="AC16" i="2" s="1"/>
  <c r="J20" i="2"/>
  <c r="J19" i="2"/>
  <c r="J18" i="2"/>
  <c r="Z19" i="2"/>
  <c r="AA19" i="2" s="1"/>
  <c r="T20" i="2"/>
  <c r="U20" i="2" s="1"/>
  <c r="T19" i="2"/>
  <c r="U19" i="2" s="1"/>
  <c r="T18" i="2"/>
  <c r="U18" i="2" s="1"/>
  <c r="F7" i="3"/>
  <c r="F8" i="3"/>
  <c r="F9" i="3"/>
  <c r="F10" i="3"/>
  <c r="F11" i="3"/>
  <c r="F12" i="3"/>
  <c r="F13" i="3"/>
  <c r="F14" i="3"/>
  <c r="F15" i="3"/>
  <c r="F6" i="3"/>
  <c r="C7" i="3"/>
  <c r="C8" i="3"/>
  <c r="C9" i="3"/>
  <c r="C10" i="3"/>
  <c r="C11" i="3"/>
  <c r="C12" i="3"/>
  <c r="C13" i="3"/>
  <c r="C14" i="3"/>
  <c r="C15" i="3"/>
  <c r="C6" i="3"/>
  <c r="M16" i="2"/>
  <c r="O16" i="2" s="1"/>
  <c r="K23" i="10" l="1"/>
  <c r="J24" i="10"/>
  <c r="U21" i="2"/>
  <c r="Z21" i="2"/>
  <c r="AA22" i="2" s="1"/>
  <c r="AA21" i="2"/>
  <c r="R19" i="2"/>
  <c r="V19" i="2" s="1"/>
  <c r="Y19" i="2" s="1"/>
  <c r="AC19" i="2" s="1"/>
  <c r="R20" i="2"/>
  <c r="V20" i="2" s="1"/>
  <c r="Y20" i="2" s="1"/>
  <c r="AC20" i="2" s="1"/>
  <c r="R18" i="2"/>
  <c r="V18" i="2" s="1"/>
  <c r="Y18" i="2" s="1"/>
  <c r="AC18" i="2" s="1"/>
  <c r="M19" i="2"/>
  <c r="O19" i="2" s="1"/>
  <c r="M20" i="2"/>
  <c r="O20" i="2" s="1"/>
  <c r="M18" i="2"/>
  <c r="O18" i="2" s="1"/>
  <c r="R4" i="2"/>
  <c r="V4" i="2" s="1"/>
  <c r="Y4" i="2" s="1"/>
  <c r="AC4" i="2" s="1"/>
  <c r="M4" i="2"/>
  <c r="R8" i="2"/>
  <c r="V8" i="2" s="1"/>
  <c r="Y8" i="2" s="1"/>
  <c r="AC8" i="2" s="1"/>
  <c r="O8" i="2"/>
  <c r="M8" i="2"/>
  <c r="M21" i="2" l="1"/>
  <c r="J25" i="10"/>
  <c r="K24" i="10"/>
  <c r="K25" i="10" s="1"/>
  <c r="M24" i="10"/>
  <c r="M25" i="10" s="1"/>
  <c r="O4" i="2"/>
</calcChain>
</file>

<file path=xl/comments1.xml><?xml version="1.0" encoding="utf-8"?>
<comments xmlns="http://schemas.openxmlformats.org/spreadsheetml/2006/main">
  <authors>
    <author>Johnston</author>
  </authors>
  <commentList>
    <comment ref="H5" authorId="0">
      <text>
        <r>
          <rPr>
            <b/>
            <sz val="8"/>
            <color indexed="81"/>
            <rFont val="Tahoma"/>
            <family val="2"/>
          </rPr>
          <t>Johnston: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Johnston</author>
  </authors>
  <commentList>
    <comment ref="H5" authorId="0">
      <text>
        <r>
          <rPr>
            <b/>
            <sz val="8"/>
            <color indexed="81"/>
            <rFont val="Tahoma"/>
            <family val="2"/>
          </rPr>
          <t>Drive to La Grave</t>
        </r>
      </text>
    </comment>
    <comment ref="G10" authorId="0">
      <text>
        <r>
          <rPr>
            <b/>
            <sz val="8"/>
            <color indexed="81"/>
            <rFont val="Tahoma"/>
            <family val="2"/>
          </rPr>
          <t>It is assumed that 6 of our 12 Climb Participants will skip the scheduled climb and drive to Sault in the morning, enbling the other 6 Climb Participants to drive to Sault in the afternoon.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Drive 29km NW to St-Etienne-de-Cuines</t>
        </r>
      </text>
    </comment>
    <comment ref="L16" authorId="0">
      <text>
        <r>
          <rPr>
            <b/>
            <sz val="8"/>
            <color indexed="81"/>
            <rFont val="Tahoma"/>
            <family val="2"/>
          </rPr>
          <t xml:space="preserve">La Chambre
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Col de la Madeleine</t>
        </r>
      </text>
    </comment>
    <comment ref="G18" authorId="0">
      <text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Johnston</author>
  </authors>
  <commentList>
    <comment ref="G7" authorId="0">
      <text>
        <r>
          <rPr>
            <b/>
            <sz val="8"/>
            <color indexed="81"/>
            <rFont val="Tahoma"/>
            <family val="2"/>
          </rPr>
          <t>Drive 29km NW to St-Etienne-de-Cuines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 xml:space="preserve">La Chambre
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Col de la Madeleine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Drive to La Grave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It is assumed that 6 of our 12 Climb Participants will skip the scheduled climb and drive to Sault in the morning, enbling the other 6 Climb Participants to drive to Sault in the afternoon.</t>
        </r>
      </text>
    </comment>
    <comment ref="K18" authorId="0">
      <text>
        <r>
          <rPr>
            <b/>
            <sz val="8"/>
            <color indexed="81"/>
            <rFont val="Tahoma"/>
            <family val="2"/>
          </rPr>
          <t>Bédoin</t>
        </r>
      </text>
    </comment>
    <comment ref="L18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K19" authorId="0">
      <text>
        <r>
          <rPr>
            <b/>
            <sz val="8"/>
            <color indexed="81"/>
            <rFont val="Tahoma"/>
            <family val="2"/>
          </rPr>
          <t>Malaucene</t>
        </r>
      </text>
    </comment>
    <comment ref="L19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L20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</commentList>
</comments>
</file>

<file path=xl/comments4.xml><?xml version="1.0" encoding="utf-8"?>
<comments xmlns="http://schemas.openxmlformats.org/spreadsheetml/2006/main">
  <authors>
    <author>Johnston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one 7th of cost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one
one 7th of costs</t>
        </r>
      </text>
    </comment>
  </commentList>
</comments>
</file>

<file path=xl/sharedStrings.xml><?xml version="1.0" encoding="utf-8"?>
<sst xmlns="http://schemas.openxmlformats.org/spreadsheetml/2006/main" count="336" uniqueCount="202">
  <si>
    <t>km</t>
  </si>
  <si>
    <t>Day</t>
  </si>
  <si>
    <t>Date</t>
  </si>
  <si>
    <t>Col de la Madeleine - up / down from La Chambre</t>
  </si>
  <si>
    <t>Alt. Start m.</t>
  </si>
  <si>
    <t>Alt. Apex Climb m.</t>
  </si>
  <si>
    <t>Depart Base Camp</t>
  </si>
  <si>
    <t>Distance of climb km</t>
  </si>
  <si>
    <t>Vert elevation</t>
  </si>
  <si>
    <t>Turn around time</t>
  </si>
  <si>
    <t>Col la Toussuire, descend FontCouverte</t>
  </si>
  <si>
    <t>Drive to Start km</t>
  </si>
  <si>
    <t>KOM Nosh Stop time</t>
  </si>
  <si>
    <t>Climb</t>
  </si>
  <si>
    <t>Elev.</t>
  </si>
  <si>
    <t>Av.</t>
  </si>
  <si>
    <t>Grade</t>
  </si>
  <si>
    <t>Length</t>
  </si>
  <si>
    <t>Profile</t>
  </si>
  <si>
    <t>Difficulty</t>
  </si>
  <si>
    <t>Index</t>
  </si>
  <si>
    <t>Col du Galibier (&amp; Telegraphe)</t>
  </si>
  <si>
    <t>click...</t>
  </si>
  <si>
    <t>Col du Glandon</t>
  </si>
  <si>
    <t>Col de la Croix de Fer</t>
  </si>
  <si>
    <t>Col de Sarenne</t>
  </si>
  <si>
    <t>Col du Grand Colombier</t>
  </si>
  <si>
    <t>Alpe d'Huez</t>
  </si>
  <si>
    <t>La Toussuire</t>
  </si>
  <si>
    <t>Mont Revard</t>
  </si>
  <si>
    <t>Col du Mollard</t>
  </si>
  <si>
    <t>Col du Grand Cucheron</t>
  </si>
  <si>
    <t>Gain ft</t>
  </si>
  <si>
    <t>Length miles</t>
  </si>
  <si>
    <t>Elev. m</t>
  </si>
  <si>
    <t>KOM clock time</t>
  </si>
  <si>
    <t>Remain-ing ride distance km</t>
  </si>
  <si>
    <t>Remain-ing ride time</t>
  </si>
  <si>
    <t>Mt Ventoux from Bédoin return Sault</t>
  </si>
  <si>
    <t>Mt Ventoux from Malaucene return Bédoin</t>
  </si>
  <si>
    <t>Mt Ventoux from Sault return Sault</t>
  </si>
  <si>
    <t>Total ride distance km</t>
  </si>
  <si>
    <t>Drive from Finish km</t>
  </si>
  <si>
    <t>Agg. drive km</t>
  </si>
  <si>
    <t>Base camp return time</t>
  </si>
  <si>
    <t>Drive time min</t>
  </si>
  <si>
    <t xml:space="preserve"> </t>
  </si>
  <si>
    <t>Drive home time min</t>
  </si>
  <si>
    <t>Col du Mollard, return Fontcouverte la Toussuire</t>
  </si>
  <si>
    <t>Col du Telegraphe &amp; Col du Galibier retrace to St-M-de-M.</t>
  </si>
  <si>
    <t>Start climb</t>
  </si>
  <si>
    <t>Col du Glandon &amp; Croix de Fer descend FontCouverte</t>
  </si>
  <si>
    <t xml:space="preserve">Les Deux Alpes, retrace via Le Chambon </t>
  </si>
  <si>
    <t>Col du Lautaret &amp; Col du Galibier</t>
  </si>
  <si>
    <t>Villard Reymond</t>
  </si>
  <si>
    <t>BC</t>
  </si>
  <si>
    <t>Col de Sarenne from Rochetaillée descend Alpe d'Huez</t>
  </si>
  <si>
    <t>Les Karellis - up 'n back down</t>
  </si>
  <si>
    <t>Bourg d'Oisans to Alpe d'Huez return Col de Sarenne</t>
  </si>
  <si>
    <t>Total climb &amp; ride times</t>
  </si>
  <si>
    <t>Total Climb times</t>
  </si>
  <si>
    <t>Ave. Gradient</t>
  </si>
  <si>
    <t>Peak Gradient</t>
  </si>
  <si>
    <t>Ride finish time</t>
  </si>
  <si>
    <t>EURO €</t>
  </si>
  <si>
    <t>AUD $</t>
  </si>
  <si>
    <t xml:space="preserve">Exchange rate AUD$1 = </t>
  </si>
  <si>
    <t>Alcohol</t>
  </si>
  <si>
    <t>feet</t>
  </si>
  <si>
    <t>feet in a metre</t>
  </si>
  <si>
    <t>Col du Galibier</t>
  </si>
  <si>
    <t>Open adjoining worksheet '14 days climb stats'</t>
  </si>
  <si>
    <t>Drive to Avignon.  Return 7 seater van.  Stay in Avignon overnight.</t>
  </si>
  <si>
    <t>Catch train to Paris and stay in hotel that night.</t>
  </si>
  <si>
    <t>Look around Paris and stay in hotel o'nite.</t>
  </si>
  <si>
    <t>Fly out of Paris</t>
  </si>
  <si>
    <t>19 days / 18 nights schedule</t>
  </si>
  <si>
    <t>Depart</t>
  </si>
  <si>
    <t>Arrive</t>
  </si>
  <si>
    <t>1st</t>
  </si>
  <si>
    <t>2nd</t>
  </si>
  <si>
    <t>3rd</t>
  </si>
  <si>
    <t xml:space="preserve">After above climb, drive 68km to 2nd Base Camp - B-d’O </t>
  </si>
  <si>
    <t>Bourg d'Oisans to La Bérarde, retrace to Bourg d'Oisans</t>
  </si>
  <si>
    <t>Climb difficulty rating</t>
  </si>
  <si>
    <t>Nights in each Base Camp</t>
  </si>
  <si>
    <t xml:space="preserve">Le Colporteur Camp Ground </t>
  </si>
  <si>
    <t xml:space="preserve">2nd base camp in Bourg d'Oisans </t>
  </si>
  <si>
    <t xml:space="preserve">Personnes incluses dans le tarif  </t>
  </si>
  <si>
    <t>Nil</t>
  </si>
  <si>
    <t xml:space="preserve">Véhicules inclus dans le tarif </t>
  </si>
  <si>
    <t>6 personnes chalet</t>
  </si>
  <si>
    <t xml:space="preserve">Adulte de + de 13 ans  </t>
  </si>
  <si>
    <t>1st base camp in Saint Jean de Maurienne</t>
  </si>
  <si>
    <t xml:space="preserve">Camping des Grands Cols </t>
  </si>
  <si>
    <t>2 x two person chalets</t>
  </si>
  <si>
    <t xml:space="preserve">Land at Charles de Gaulle Airport in Paris.  Catch train from Terminal 2 at Airport to Lyon.  Change train to arrive at Chambery station.  </t>
  </si>
  <si>
    <t>Daily rate per chalet</t>
  </si>
  <si>
    <t xml:space="preserve">Taxe de séjour + de 13 ans  </t>
  </si>
  <si>
    <t xml:space="preserve">Frais de réservation </t>
  </si>
  <si>
    <t>O'standing</t>
  </si>
  <si>
    <t>Dep.Paid</t>
  </si>
  <si>
    <t>3rd base camp in Sault</t>
  </si>
  <si>
    <t>Collect people mover and bike racks and drive to Chambery.  Open adjoining worksheet '14 days climb stats'</t>
  </si>
  <si>
    <t>Early on Sun. 16th, drive 218km to 3rd Base Camp - Sault</t>
  </si>
  <si>
    <t>Early on day after 3rd climb, drive to Avignon - return vehicle by 10am</t>
  </si>
  <si>
    <t xml:space="preserve">Drive 74km SE from Chambery to 1st Base Camp - St Jean 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</si>
  <si>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</si>
  <si>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</si>
  <si>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</si>
  <si>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</si>
  <si>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</si>
  <si>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</si>
  <si>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</si>
  <si>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</si>
  <si>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</si>
  <si>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Camp Grand 2nd Base Camp</t>
  </si>
  <si>
    <t>David J</t>
  </si>
  <si>
    <t>Euro to AUD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</si>
  <si>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</si>
  <si>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</si>
  <si>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</si>
  <si>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</si>
  <si>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</si>
  <si>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</si>
  <si>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</si>
  <si>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</si>
  <si>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Cost AUD</t>
  </si>
  <si>
    <t>Cost Euro</t>
  </si>
  <si>
    <t>PaidDJ</t>
  </si>
  <si>
    <t xml:space="preserve">Total 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</si>
  <si>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</si>
  <si>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</si>
  <si>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</si>
  <si>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</si>
  <si>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</si>
  <si>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</si>
  <si>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</si>
  <si>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</si>
  <si>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</si>
  <si>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</si>
  <si>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</si>
  <si>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</si>
  <si>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Shared cost of '7 seater vehicle' is based on 7 Committed Climb Participants</t>
  </si>
  <si>
    <t>approx.</t>
  </si>
  <si>
    <t>TGV train from Lyon (or Geneva) to Grenoble and return</t>
  </si>
  <si>
    <t>Meals per day based on eating in chalet half of the 16 nights</t>
  </si>
  <si>
    <t>Insurance to cover trauma accident costs incl. collection by ambulance in Rhone Alps and hospital</t>
  </si>
  <si>
    <t>7 seater Peugeot 5008 (or similar) from rentalcars.com for 16 days collect at Grenoble on Tues 2 Sept and return Grenoble  Thurs 19 Sept</t>
  </si>
  <si>
    <r>
      <t xml:space="preserve">2013 </t>
    </r>
    <r>
      <rPr>
        <b/>
        <i/>
        <sz val="14"/>
        <color theme="1"/>
        <rFont val="Arial Narrow"/>
        <family val="2"/>
      </rPr>
      <t>Tour de Conquer</t>
    </r>
    <r>
      <rPr>
        <b/>
        <sz val="14"/>
        <color theme="1"/>
        <rFont val="Arial Narrow"/>
        <family val="2"/>
      </rPr>
      <t xml:space="preserve"> costs - 18 days / 17 nights flying into Lyon or Geneva on Tues morning, 2 Sept, and flying from Lyon or Geneva on Thurs, 19 Sept</t>
    </r>
  </si>
  <si>
    <t>Return QANTAS flight if booked by mid-January for 'Early Bird' flights with 23kg check-in luggage (hire a carbon bicycle for 16 days in L' Bourg Oisan)</t>
  </si>
  <si>
    <t>Hire of carbon fibre bike with Ultegra from one of 5 shops in L'Bourg Oisans for 16 days @ Euro 27 per day</t>
  </si>
  <si>
    <t>Jetabroad.com.au</t>
  </si>
  <si>
    <t>Flight time</t>
  </si>
  <si>
    <t>10:05 AM</t>
  </si>
  <si>
    <t>Lyon Airport via to Sydney Airport</t>
  </si>
  <si>
    <t>7:00 PM</t>
  </si>
  <si>
    <t>28:20</t>
  </si>
  <si>
    <t>TVG train depart Lyon Airport</t>
  </si>
  <si>
    <t>TVG train arrive Grenoble</t>
  </si>
  <si>
    <t>12:13 PM</t>
  </si>
  <si>
    <t>1:36 PM</t>
  </si>
  <si>
    <r>
      <t xml:space="preserve">2013 </t>
    </r>
    <r>
      <rPr>
        <b/>
        <i/>
        <sz val="14"/>
        <color rgb="FF0000CC"/>
        <rFont val="Arial"/>
        <family val="2"/>
      </rPr>
      <t>Tour de Conquer</t>
    </r>
    <r>
      <rPr>
        <b/>
        <sz val="14"/>
        <color rgb="FF0000CC"/>
        <rFont val="Arial"/>
        <family val="2"/>
      </rPr>
      <t xml:space="preserve">   -  Daily Cimbs Schedule</t>
    </r>
  </si>
  <si>
    <t>Collect car Grenoble Airport</t>
  </si>
  <si>
    <t>Drive 51km to 1st Base Camp</t>
  </si>
  <si>
    <t>Depart Syd date</t>
  </si>
  <si>
    <t>Depart Syd time</t>
  </si>
  <si>
    <t>Climb Day #</t>
  </si>
  <si>
    <r>
      <t xml:space="preserve">2012 </t>
    </r>
    <r>
      <rPr>
        <b/>
        <i/>
        <sz val="14"/>
        <color rgb="FF0000CC"/>
        <rFont val="Arial"/>
        <family val="2"/>
      </rPr>
      <t>Tour de Conquer</t>
    </r>
    <r>
      <rPr>
        <b/>
        <sz val="14"/>
        <color rgb="FF0000CC"/>
        <rFont val="Arial"/>
        <family val="2"/>
      </rPr>
      <t xml:space="preserve">   -  Daily Climbs Schedule</t>
    </r>
  </si>
  <si>
    <t>Climb Day</t>
  </si>
  <si>
    <t>Train from Lyon to Grenoble, drive hire car 51km to 1st Base Camp</t>
  </si>
  <si>
    <t>Arrive 1st Base Camp</t>
  </si>
  <si>
    <t>Arrive Grenoble car rental</t>
  </si>
  <si>
    <t xml:space="preserve">Return hire car at Grenoble </t>
  </si>
  <si>
    <t>Arrive Lyon TVG train station</t>
  </si>
  <si>
    <t>Catch TVG train from Grenoble</t>
  </si>
  <si>
    <t xml:space="preserve">Arrive Lyon Airport </t>
  </si>
  <si>
    <t>Fly from Lyon Airport date</t>
  </si>
  <si>
    <t>Fly from Lyon Airport day</t>
  </si>
  <si>
    <t>Fly from Lyon Airport time</t>
  </si>
  <si>
    <t>Arrive Sydney Airport date</t>
  </si>
  <si>
    <t>Arrive Sydney Airport day</t>
  </si>
  <si>
    <t>Arrive Sydney Airport time</t>
  </si>
  <si>
    <t xml:space="preserve"> 18 days in France</t>
  </si>
  <si>
    <t>TGV</t>
  </si>
  <si>
    <t>Depart 2nd Base Camp to drive 200km tp Grenoble</t>
  </si>
  <si>
    <t>Yet to be entered but lots of climb options</t>
  </si>
  <si>
    <t>Col du Telegraphe &amp; Col du Galibier retrace to St-J-de-M.</t>
  </si>
  <si>
    <t>Arrive Zurich</t>
  </si>
  <si>
    <t>Depart Zurich</t>
  </si>
  <si>
    <t>QANTAS Swiss, Swiss Airlines</t>
  </si>
  <si>
    <t>Swiss, Swiss, Thai Airlines</t>
  </si>
  <si>
    <t>Arrive Zurich Airport</t>
  </si>
  <si>
    <t>Arrive Lyon Airport</t>
  </si>
  <si>
    <t>Depart Zurich Airport</t>
  </si>
  <si>
    <t>Arrive Bangkok Airport</t>
  </si>
  <si>
    <t>Depart Bangkok Airport</t>
  </si>
  <si>
    <t>26:15</t>
  </si>
  <si>
    <t>Arrive Changi</t>
  </si>
  <si>
    <t>Depart Changi</t>
  </si>
  <si>
    <t>Sydney Airport via Changi &amp; Zurich to Lyon</t>
  </si>
  <si>
    <t xml:space="preserve">Drive 122km from St Jean de Maurienne, via Bourg d'Oisans, to Grenoble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</si>
</sst>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[$EUR]\ #,##0.00"/>
    <numFmt numFmtId="169" formatCode="0\ &quot;days&quot;"/>
    <numFmt numFmtId="170" formatCode="[$EUR]\ #,##0"/>
    <numFmt numFmtId="171" formatCode="[$AUD]\ #,##0"/>
    <numFmt numFmtId="172" formatCode="[$AUD]\ #,##0;[Red]\-[$AUD]\ #,##0"/>
    <numFmt numFmtId="173" formatCode="[$-C09]dd\-mmm\-yy;@"/>
    <numFmt numFmtId="174" formatCode="[$AUD]\ #,##0.00"/>
    <numFmt numFmtId="175" formatCode="0.00\ &quot;Euro&quot;"/>
    <numFmt numFmtId="176" formatCode="&quot;$&quot;#,##0.00"/>
    <numFmt numFmtId="177" formatCode="&quot;16 days Chalet (cabin) accommodation in 2 Base Camps @ Euro&quot;\ 0\ &quot;per night&quot;"/>
    <numFmt numFmtId="178" formatCode="[$EUR]\ #,##0.0"/>
  </numFmts>
  <fonts count="3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rgb="FF222222"/>
      <name val="Arial"/>
      <family val="2"/>
    </font>
    <font>
      <sz val="11"/>
      <color rgb="FF333333"/>
      <name val="Arial"/>
      <family val="2"/>
    </font>
    <font>
      <b/>
      <u/>
      <sz val="11"/>
      <color theme="10"/>
      <name val="Arial"/>
      <family val="2"/>
    </font>
    <font>
      <sz val="11"/>
      <color rgb="FF333333"/>
      <name val="Verdana"/>
      <family val="2"/>
    </font>
    <font>
      <b/>
      <sz val="11"/>
      <color rgb="FF333333"/>
      <name val="Verdan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rgb="FF0000CC"/>
      <name val="Arial"/>
      <family val="2"/>
    </font>
    <font>
      <b/>
      <i/>
      <sz val="14"/>
      <color rgb="FF0000CC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1"/>
      <color rgb="FF222222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05">
    <xf numFmtId="0" fontId="0" fillId="0" borderId="0" xfId="0"/>
    <xf numFmtId="20" fontId="0" fillId="0" borderId="0" xfId="0" applyNumberFormat="1"/>
    <xf numFmtId="0" fontId="0" fillId="2" borderId="0" xfId="0" applyFill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3" fontId="9" fillId="2" borderId="0" xfId="0" applyNumberFormat="1" applyFont="1" applyFill="1" applyAlignment="1">
      <alignment horizontal="center" vertical="center" wrapText="1"/>
    </xf>
    <xf numFmtId="43" fontId="9" fillId="0" borderId="0" xfId="2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15" fontId="13" fillId="0" borderId="0" xfId="0" applyNumberFormat="1" applyFont="1"/>
    <xf numFmtId="0" fontId="14" fillId="0" borderId="0" xfId="0" applyFont="1"/>
    <xf numFmtId="20" fontId="14" fillId="0" borderId="0" xfId="0" applyNumberFormat="1" applyFont="1"/>
    <xf numFmtId="9" fontId="14" fillId="0" borderId="0" xfId="0" applyNumberFormat="1" applyFont="1"/>
    <xf numFmtId="2" fontId="14" fillId="0" borderId="0" xfId="0" applyNumberFormat="1" applyFont="1"/>
    <xf numFmtId="0" fontId="13" fillId="6" borderId="0" xfId="0" applyFont="1" applyFill="1"/>
    <xf numFmtId="20" fontId="13" fillId="4" borderId="0" xfId="0" applyNumberFormat="1" applyFont="1" applyFill="1"/>
    <xf numFmtId="10" fontId="13" fillId="5" borderId="0" xfId="1" applyNumberFormat="1" applyFont="1" applyFill="1"/>
    <xf numFmtId="164" fontId="13" fillId="3" borderId="0" xfId="0" applyNumberFormat="1" applyFont="1" applyFill="1" applyAlignme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66" fontId="13" fillId="5" borderId="0" xfId="2" applyNumberFormat="1" applyFont="1" applyFill="1"/>
    <xf numFmtId="166" fontId="14" fillId="6" borderId="0" xfId="2" applyNumberFormat="1" applyFont="1" applyFill="1"/>
    <xf numFmtId="167" fontId="13" fillId="5" borderId="0" xfId="0" applyNumberFormat="1" applyFont="1" applyFill="1" applyAlignment="1">
      <alignment horizontal="right"/>
    </xf>
    <xf numFmtId="166" fontId="14" fillId="6" borderId="0" xfId="2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166" fontId="15" fillId="0" borderId="0" xfId="0" applyNumberFormat="1" applyFont="1" applyAlignment="1">
      <alignment horizontal="right"/>
    </xf>
    <xf numFmtId="20" fontId="0" fillId="6" borderId="0" xfId="0" applyNumberFormat="1" applyFill="1"/>
    <xf numFmtId="0" fontId="0" fillId="6" borderId="0" xfId="0" applyFill="1"/>
    <xf numFmtId="43" fontId="13" fillId="3" borderId="0" xfId="2" applyFont="1" applyFill="1" applyAlignment="1"/>
    <xf numFmtId="166" fontId="17" fillId="3" borderId="0" xfId="2" applyNumberFormat="1" applyFont="1" applyFill="1"/>
    <xf numFmtId="0" fontId="16" fillId="3" borderId="0" xfId="0" applyFont="1" applyFill="1"/>
    <xf numFmtId="165" fontId="13" fillId="3" borderId="0" xfId="2" applyNumberFormat="1" applyFont="1" applyFill="1" applyAlignment="1">
      <alignment horizontal="left"/>
    </xf>
    <xf numFmtId="20" fontId="13" fillId="6" borderId="0" xfId="0" applyNumberFormat="1" applyFont="1" applyFill="1"/>
    <xf numFmtId="167" fontId="13" fillId="5" borderId="0" xfId="1" applyNumberFormat="1" applyFont="1" applyFill="1"/>
    <xf numFmtId="0" fontId="4" fillId="0" borderId="0" xfId="3" applyFont="1"/>
    <xf numFmtId="165" fontId="13" fillId="3" borderId="0" xfId="2" applyNumberFormat="1" applyFont="1" applyFill="1" applyAlignment="1"/>
    <xf numFmtId="20" fontId="14" fillId="6" borderId="0" xfId="2" applyNumberFormat="1" applyFont="1" applyFill="1" applyAlignment="1">
      <alignment horizontal="right"/>
    </xf>
    <xf numFmtId="0" fontId="0" fillId="0" borderId="0" xfId="0" applyBorder="1"/>
    <xf numFmtId="20" fontId="18" fillId="0" borderId="0" xfId="0" applyNumberFormat="1" applyFont="1"/>
    <xf numFmtId="0" fontId="20" fillId="9" borderId="0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wrapText="1"/>
    </xf>
    <xf numFmtId="0" fontId="13" fillId="6" borderId="1" xfId="0" applyFont="1" applyFill="1" applyBorder="1"/>
    <xf numFmtId="166" fontId="13" fillId="5" borderId="1" xfId="2" applyNumberFormat="1" applyFont="1" applyFill="1" applyBorder="1"/>
    <xf numFmtId="0" fontId="16" fillId="3" borderId="1" xfId="0" applyFont="1" applyFill="1" applyBorder="1"/>
    <xf numFmtId="20" fontId="13" fillId="4" borderId="1" xfId="0" applyNumberFormat="1" applyFont="1" applyFill="1" applyBorder="1"/>
    <xf numFmtId="0" fontId="0" fillId="6" borderId="1" xfId="0" applyFill="1" applyBorder="1"/>
    <xf numFmtId="0" fontId="13" fillId="4" borderId="1" xfId="0" applyFont="1" applyFill="1" applyBorder="1" applyAlignment="1">
      <alignment horizontal="center" wrapText="1"/>
    </xf>
    <xf numFmtId="20" fontId="13" fillId="4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20" fontId="13" fillId="6" borderId="1" xfId="0" applyNumberFormat="1" applyFont="1" applyFill="1" applyBorder="1" applyAlignment="1">
      <alignment horizontal="center" wrapText="1"/>
    </xf>
    <xf numFmtId="20" fontId="19" fillId="0" borderId="0" xfId="0" applyNumberFormat="1" applyFont="1"/>
    <xf numFmtId="20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7" fillId="3" borderId="0" xfId="2" applyNumberFormat="1" applyFont="1" applyFill="1" applyAlignment="1"/>
    <xf numFmtId="164" fontId="16" fillId="3" borderId="0" xfId="0" applyNumberFormat="1" applyFont="1" applyFill="1" applyAlignment="1">
      <alignment horizontal="right"/>
    </xf>
    <xf numFmtId="164" fontId="16" fillId="3" borderId="1" xfId="0" applyNumberFormat="1" applyFont="1" applyFill="1" applyBorder="1" applyAlignment="1">
      <alignment horizontal="right"/>
    </xf>
    <xf numFmtId="0" fontId="20" fillId="9" borderId="0" xfId="0" applyFont="1" applyFill="1" applyAlignment="1">
      <alignment horizontal="center"/>
    </xf>
    <xf numFmtId="46" fontId="17" fillId="4" borderId="0" xfId="0" applyNumberFormat="1" applyFont="1" applyFill="1"/>
    <xf numFmtId="166" fontId="17" fillId="5" borderId="0" xfId="2" applyNumberFormat="1" applyFont="1" applyFill="1"/>
    <xf numFmtId="0" fontId="13" fillId="0" borderId="0" xfId="0" applyFont="1" applyAlignment="1">
      <alignment horizontal="center"/>
    </xf>
    <xf numFmtId="16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20" fillId="0" borderId="0" xfId="0" applyFont="1" applyAlignment="1">
      <alignment horizontal="center"/>
    </xf>
    <xf numFmtId="0" fontId="21" fillId="0" borderId="0" xfId="0" applyFont="1"/>
    <xf numFmtId="171" fontId="22" fillId="0" borderId="0" xfId="0" applyNumberFormat="1" applyFont="1"/>
    <xf numFmtId="0" fontId="0" fillId="3" borderId="0" xfId="0" applyFill="1"/>
    <xf numFmtId="168" fontId="0" fillId="3" borderId="0" xfId="0" applyNumberFormat="1" applyFill="1"/>
    <xf numFmtId="171" fontId="20" fillId="0" borderId="0" xfId="0" applyNumberFormat="1" applyFont="1"/>
    <xf numFmtId="0" fontId="23" fillId="0" borderId="0" xfId="0" applyFont="1"/>
    <xf numFmtId="43" fontId="14" fillId="0" borderId="0" xfId="2" applyFont="1"/>
    <xf numFmtId="15" fontId="0" fillId="0" borderId="0" xfId="0" applyNumberFormat="1" applyAlignment="1">
      <alignment horizontal="center"/>
    </xf>
    <xf numFmtId="0" fontId="20" fillId="0" borderId="0" xfId="3" applyFont="1"/>
    <xf numFmtId="0" fontId="13" fillId="0" borderId="0" xfId="0" applyFont="1" applyBorder="1"/>
    <xf numFmtId="0" fontId="13" fillId="6" borderId="0" xfId="0" applyFont="1" applyFill="1" applyBorder="1" applyAlignment="1">
      <alignment horizontal="center" wrapText="1"/>
    </xf>
    <xf numFmtId="20" fontId="13" fillId="4" borderId="0" xfId="0" applyNumberFormat="1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20" fontId="13" fillId="6" borderId="0" xfId="0" applyNumberFormat="1" applyFont="1" applyFill="1" applyBorder="1" applyAlignment="1">
      <alignment horizontal="center" wrapText="1"/>
    </xf>
    <xf numFmtId="0" fontId="24" fillId="0" borderId="1" xfId="0" applyFont="1" applyBorder="1"/>
    <xf numFmtId="15" fontId="13" fillId="0" borderId="0" xfId="0" applyNumberFormat="1" applyFont="1" applyBorder="1" applyAlignment="1">
      <alignment horizontal="right"/>
    </xf>
    <xf numFmtId="46" fontId="17" fillId="4" borderId="0" xfId="0" applyNumberFormat="1" applyFont="1" applyFill="1" applyAlignment="1">
      <alignment horizontal="right"/>
    </xf>
    <xf numFmtId="0" fontId="0" fillId="0" borderId="0" xfId="0" applyFont="1"/>
    <xf numFmtId="0" fontId="0" fillId="0" borderId="0" xfId="0" quotePrefix="1"/>
    <xf numFmtId="0" fontId="3" fillId="2" borderId="0" xfId="3" applyFont="1" applyFill="1"/>
    <xf numFmtId="0" fontId="3" fillId="7" borderId="0" xfId="3" applyFont="1" applyFill="1"/>
    <xf numFmtId="0" fontId="3" fillId="8" borderId="0" xfId="3" applyFont="1" applyFill="1"/>
    <xf numFmtId="0" fontId="3" fillId="10" borderId="0" xfId="3" applyFont="1" applyFill="1"/>
    <xf numFmtId="0" fontId="16" fillId="0" borderId="0" xfId="0" applyFont="1" applyAlignment="1">
      <alignment horizontal="center"/>
    </xf>
    <xf numFmtId="8" fontId="0" fillId="0" borderId="0" xfId="0" applyNumberFormat="1"/>
    <xf numFmtId="0" fontId="26" fillId="0" borderId="0" xfId="0" applyFont="1"/>
    <xf numFmtId="0" fontId="0" fillId="0" borderId="0" xfId="0" applyAlignment="1">
      <alignment horizontal="right"/>
    </xf>
    <xf numFmtId="173" fontId="0" fillId="0" borderId="0" xfId="0" applyNumberFormat="1"/>
    <xf numFmtId="173" fontId="0" fillId="0" borderId="0" xfId="0" applyNumberFormat="1" applyAlignment="1">
      <alignment horizontal="center"/>
    </xf>
    <xf numFmtId="0" fontId="27" fillId="0" borderId="0" xfId="0" applyFont="1"/>
    <xf numFmtId="15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0" fontId="0" fillId="0" borderId="0" xfId="0" applyNumberFormat="1"/>
    <xf numFmtId="10" fontId="22" fillId="0" borderId="0" xfId="1" applyNumberFormat="1" applyFont="1"/>
    <xf numFmtId="168" fontId="0" fillId="0" borderId="1" xfId="0" applyNumberFormat="1" applyBorder="1"/>
    <xf numFmtId="174" fontId="0" fillId="0" borderId="0" xfId="0" applyNumberFormat="1"/>
    <xf numFmtId="174" fontId="22" fillId="0" borderId="0" xfId="0" applyNumberFormat="1" applyFont="1"/>
    <xf numFmtId="168" fontId="22" fillId="0" borderId="0" xfId="0" applyNumberFormat="1" applyFont="1"/>
    <xf numFmtId="0" fontId="22" fillId="0" borderId="0" xfId="0" applyFont="1"/>
    <xf numFmtId="0" fontId="0" fillId="0" borderId="0" xfId="0" applyFont="1" applyAlignment="1">
      <alignment horizontal="center"/>
    </xf>
    <xf numFmtId="170" fontId="0" fillId="0" borderId="0" xfId="0" applyNumberFormat="1" applyFont="1"/>
    <xf numFmtId="0" fontId="25" fillId="0" borderId="0" xfId="0" applyFont="1"/>
    <xf numFmtId="44" fontId="0" fillId="0" borderId="0" xfId="4" applyFont="1"/>
    <xf numFmtId="10" fontId="0" fillId="8" borderId="0" xfId="1" applyNumberFormat="1" applyFont="1" applyFill="1"/>
    <xf numFmtId="0" fontId="0" fillId="8" borderId="0" xfId="0" applyFill="1"/>
    <xf numFmtId="44" fontId="0" fillId="8" borderId="0" xfId="4" applyFont="1" applyFill="1"/>
    <xf numFmtId="44" fontId="29" fillId="8" borderId="0" xfId="4" applyFont="1" applyFill="1"/>
    <xf numFmtId="9" fontId="0" fillId="8" borderId="0" xfId="1" applyFont="1" applyFill="1"/>
    <xf numFmtId="44" fontId="0" fillId="8" borderId="0" xfId="0" applyNumberFormat="1" applyFill="1"/>
    <xf numFmtId="0" fontId="28" fillId="3" borderId="0" xfId="0" quotePrefix="1" applyFont="1" applyFill="1" applyAlignment="1">
      <alignment horizontal="center"/>
    </xf>
    <xf numFmtId="0" fontId="28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4" applyFont="1" applyFill="1"/>
    <xf numFmtId="44" fontId="29" fillId="3" borderId="0" xfId="4" applyFont="1" applyFill="1"/>
    <xf numFmtId="44" fontId="0" fillId="0" borderId="0" xfId="0" applyNumberFormat="1"/>
    <xf numFmtId="175" fontId="0" fillId="0" borderId="0" xfId="0" applyNumberFormat="1"/>
    <xf numFmtId="176" fontId="0" fillId="0" borderId="0" xfId="0" applyNumberFormat="1"/>
    <xf numFmtId="176" fontId="0" fillId="3" borderId="0" xfId="0" applyNumberFormat="1" applyFill="1"/>
    <xf numFmtId="0" fontId="20" fillId="0" borderId="0" xfId="0" applyFont="1"/>
    <xf numFmtId="176" fontId="24" fillId="0" borderId="0" xfId="0" applyNumberFormat="1" applyFont="1"/>
    <xf numFmtId="0" fontId="0" fillId="10" borderId="0" xfId="0" applyFont="1" applyFill="1"/>
    <xf numFmtId="2" fontId="0" fillId="0" borderId="0" xfId="0" applyNumberFormat="1"/>
    <xf numFmtId="0" fontId="0" fillId="11" borderId="0" xfId="0" applyFill="1"/>
    <xf numFmtId="176" fontId="0" fillId="11" borderId="0" xfId="0" applyNumberFormat="1" applyFill="1"/>
    <xf numFmtId="176" fontId="0" fillId="11" borderId="1" xfId="0" applyNumberFormat="1" applyFill="1" applyBorder="1"/>
    <xf numFmtId="0" fontId="0" fillId="11" borderId="1" xfId="0" applyFill="1" applyBorder="1"/>
    <xf numFmtId="176" fontId="0" fillId="3" borderId="2" xfId="0" applyNumberFormat="1" applyFill="1" applyBorder="1"/>
    <xf numFmtId="177" fontId="0" fillId="0" borderId="0" xfId="0" applyNumberFormat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170" fontId="0" fillId="2" borderId="3" xfId="0" applyNumberFormat="1" applyFill="1" applyBorder="1"/>
    <xf numFmtId="170" fontId="0" fillId="2" borderId="4" xfId="0" applyNumberFormat="1" applyFill="1" applyBorder="1"/>
    <xf numFmtId="170" fontId="0" fillId="2" borderId="5" xfId="0" applyNumberFormat="1" applyFill="1" applyBorder="1"/>
    <xf numFmtId="170" fontId="0" fillId="2" borderId="6" xfId="0" applyNumberFormat="1" applyFill="1" applyBorder="1"/>
    <xf numFmtId="0" fontId="0" fillId="0" borderId="3" xfId="0" applyBorder="1"/>
    <xf numFmtId="0" fontId="0" fillId="0" borderId="4" xfId="0" applyBorder="1"/>
    <xf numFmtId="171" fontId="0" fillId="0" borderId="4" xfId="0" applyNumberFormat="1" applyBorder="1"/>
    <xf numFmtId="171" fontId="0" fillId="0" borderId="3" xfId="0" applyNumberFormat="1" applyBorder="1"/>
    <xf numFmtId="170" fontId="0" fillId="0" borderId="5" xfId="0" applyNumberFormat="1" applyBorder="1"/>
    <xf numFmtId="171" fontId="0" fillId="0" borderId="6" xfId="0" applyNumberFormat="1" applyBorder="1"/>
    <xf numFmtId="0" fontId="20" fillId="2" borderId="7" xfId="0" applyFont="1" applyFill="1" applyBorder="1" applyAlignment="1">
      <alignment horizontal="center"/>
    </xf>
    <xf numFmtId="169" fontId="20" fillId="2" borderId="8" xfId="0" applyNumberFormat="1" applyFont="1" applyFill="1" applyBorder="1"/>
    <xf numFmtId="169" fontId="20" fillId="0" borderId="7" xfId="0" applyNumberFormat="1" applyFont="1" applyBorder="1" applyAlignment="1">
      <alignment horizontal="center"/>
    </xf>
    <xf numFmtId="169" fontId="20" fillId="0" borderId="8" xfId="0" applyNumberFormat="1" applyFont="1" applyBorder="1"/>
    <xf numFmtId="0" fontId="30" fillId="0" borderId="0" xfId="0" applyFont="1"/>
    <xf numFmtId="172" fontId="4" fillId="0" borderId="0" xfId="3" applyNumberFormat="1" applyFont="1"/>
    <xf numFmtId="171" fontId="4" fillId="0" borderId="0" xfId="3" applyNumberFormat="1" applyFont="1"/>
    <xf numFmtId="19" fontId="0" fillId="0" borderId="0" xfId="0" applyNumberFormat="1"/>
    <xf numFmtId="20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7" fontId="20" fillId="0" borderId="0" xfId="4" applyNumberFormat="1" applyFont="1" applyAlignment="1">
      <alignment horizontal="center"/>
    </xf>
    <xf numFmtId="0" fontId="0" fillId="0" borderId="0" xfId="0" applyAlignment="1">
      <alignment horizontal="center" wrapText="1"/>
    </xf>
    <xf numFmtId="18" fontId="0" fillId="0" borderId="0" xfId="0" applyNumberFormat="1"/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20" fontId="0" fillId="0" borderId="0" xfId="0" quotePrefix="1" applyNumberFormat="1" applyAlignment="1">
      <alignment horizontal="center" wrapText="1"/>
    </xf>
    <xf numFmtId="0" fontId="33" fillId="0" borderId="0" xfId="4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33" fillId="3" borderId="0" xfId="4" applyNumberFormat="1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10" borderId="0" xfId="0" applyFill="1" applyAlignment="1">
      <alignment horizontal="center" wrapText="1"/>
    </xf>
    <xf numFmtId="15" fontId="0" fillId="10" borderId="0" xfId="0" applyNumberFormat="1" applyFill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34" fillId="0" borderId="0" xfId="0" applyFont="1"/>
    <xf numFmtId="15" fontId="13" fillId="0" borderId="0" xfId="0" applyNumberFormat="1" applyFont="1" applyAlignment="1">
      <alignment horizontal="center" vertical="center"/>
    </xf>
    <xf numFmtId="0" fontId="0" fillId="0" borderId="0" xfId="3" applyFont="1"/>
    <xf numFmtId="20" fontId="0" fillId="4" borderId="0" xfId="0" applyNumberFormat="1" applyFill="1"/>
    <xf numFmtId="18" fontId="0" fillId="0" borderId="0" xfId="0" applyNumberFormat="1" applyAlignment="1">
      <alignment wrapText="1"/>
    </xf>
    <xf numFmtId="169" fontId="35" fillId="0" borderId="0" xfId="0" applyNumberFormat="1" applyFont="1" applyAlignment="1">
      <alignment horizontal="center"/>
    </xf>
    <xf numFmtId="18" fontId="0" fillId="0" borderId="0" xfId="0" applyNumberFormat="1" applyAlignment="1">
      <alignment horizontal="center"/>
    </xf>
    <xf numFmtId="0" fontId="0" fillId="10" borderId="0" xfId="0" applyFill="1" applyAlignment="1">
      <alignment horizontal="left"/>
    </xf>
    <xf numFmtId="18" fontId="0" fillId="0" borderId="0" xfId="0" quotePrefix="1" applyNumberFormat="1" applyAlignment="1">
      <alignment horizontal="center" wrapText="1"/>
    </xf>
    <xf numFmtId="18" fontId="0" fillId="0" borderId="0" xfId="0" quotePrefix="1" applyNumberFormat="1" applyAlignment="1">
      <alignment horizontal="center"/>
    </xf>
    <xf numFmtId="20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9" fontId="0" fillId="0" borderId="0" xfId="0" applyNumberFormat="1"/>
    <xf numFmtId="178" fontId="0" fillId="0" borderId="0" xfId="0" applyNumberFormat="1"/>
  </cellXfs>
  <cellStyles count="5">
    <cellStyle name="Comma" xfId="2" builtinId="3"/>
    <cellStyle name="Currency" xfId="4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FFFF99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ggaccinos.com/Rides_Stuff/FranceCycleTour/Mont/2ndBC-LeBourg_d'Oisan/LeGalibier/Saint%20Michel/St_Michel-de-Maur-Rhone-Alpes.htm" TargetMode="External"/><Relationship Id="rId13" Type="http://schemas.openxmlformats.org/officeDocument/2006/relationships/hyperlink" Target="http://www.muggaccinos.com/Rides_Stuff/FranceCycleTour/Mont/1stBC-Jean_de_Maurienne/1stBC-Jean_de_Maurienne.htm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://www.muggaccinos.com/Rides_Stuff/FranceCycleTour/Mont/1stBC-Jean_de_Maurienne/La%20Toussuire/la_toussuire_from_saint_jean_de_M.htm" TargetMode="External"/><Relationship Id="rId7" Type="http://schemas.openxmlformats.org/officeDocument/2006/relationships/hyperlink" Target="http://www.muggaccinos.com/Rides_Stuff/FranceCycleTour/Mont/1stBC-Jean_de_Maurienne/Col%20du%20Mollard/col_du_mollard.htm" TargetMode="External"/><Relationship Id="rId12" Type="http://schemas.openxmlformats.org/officeDocument/2006/relationships/hyperlink" Target="http://www.muggaccinos.com/Rides_Stuff/FranceCycleTour/Mont/1stBC-Jean_de_Maurienne/1stBC-Jean_de_Maurienne.htm" TargetMode="External"/><Relationship Id="rId17" Type="http://schemas.openxmlformats.org/officeDocument/2006/relationships/hyperlink" Target="http://www.muggaccinos.com/Rides_Stuff/FranceCycleTour/Mont/1stBC-Jean_de_Maurienne/1stBC-Jean_de_Maurienne.htm" TargetMode="External"/><Relationship Id="rId2" Type="http://schemas.openxmlformats.org/officeDocument/2006/relationships/hyperlink" Target="http://www.muggaccinos.com/Rides_Stuff/FranceCycleTour/Mont/2ndBC-LeBourg_d'Oisan/Villard%20Reymond/villard_reymond.htm" TargetMode="External"/><Relationship Id="rId16" Type="http://schemas.openxmlformats.org/officeDocument/2006/relationships/hyperlink" Target="http://www.muggaccinos.com/Rides_Stuff/FranceCycleTour/Mont/1stBC-Jean_de_Maurienne/1stBC-Jean_de_Maurienne.htm" TargetMode="External"/><Relationship Id="rId20" Type="http://schemas.openxmlformats.org/officeDocument/2006/relationships/comments" Target="../comments2.xml"/><Relationship Id="rId1" Type="http://schemas.openxmlformats.org/officeDocument/2006/relationships/hyperlink" Target="http://www.muggaccinos.com/Rides_Stuff/FranceCycleTour/Mont/2ndBC-LeBourg_d'Oisan/LeGalibier/Lautaret/col_du_lautaret.htm" TargetMode="External"/><Relationship Id="rId6" Type="http://schemas.openxmlformats.org/officeDocument/2006/relationships/hyperlink" Target="http://www.muggaccinos.com/Rides_Stuff/FranceCycleTour/Mont/2ndBC-LeBourg_d'Oisan/Alpe_d'Heuz/Bourg_d'Oisans_side/Bourg_d'OisanstoAlpe_d'Huez.htm" TargetMode="External"/><Relationship Id="rId11" Type="http://schemas.openxmlformats.org/officeDocument/2006/relationships/hyperlink" Target="http://www.muggaccinos.com/Rides_Stuff/FranceCycleTour/Mont/1stBC-Jean_de_Maurienne/Les%20Karelis/les_karellis.htm" TargetMode="External"/><Relationship Id="rId5" Type="http://schemas.openxmlformats.org/officeDocument/2006/relationships/hyperlink" Target="http://www.muggaccinos.com/Rides_Stuff/FranceCycleTour/Mont/2ndBC-LeBourg_d'Oisan/Les%20Deux%20Alpes/Les_Deux_Alpes.htm" TargetMode="External"/><Relationship Id="rId15" Type="http://schemas.openxmlformats.org/officeDocument/2006/relationships/hyperlink" Target="http://www.muggaccinos.com/Rides_Stuff/FranceCycleTour/Mont/2ndBC-LeBourg_d'Oisan/La%20B&#233;rarde/Bourg_d'OisansToLaB&#233;rarde.htm" TargetMode="External"/><Relationship Id="rId10" Type="http://schemas.openxmlformats.org/officeDocument/2006/relationships/hyperlink" Target="http://www.muggaccinos.com/Rides_Stuff/FranceCycleTour/Mont/1stBC-Jean_de_Maurienne/La_Madeleine/la_madeleine.htm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://www.muggaccinos.com/Rides_Stuff/FranceCycleTour/Mont/2ndBC-LeBourg_d'Oisan/Alpe_d'Heuz/Rochetaill&#233;e_side/Rochetaill&#233;e_to_Alpe%20d'Huez.htm" TargetMode="External"/><Relationship Id="rId9" Type="http://schemas.openxmlformats.org/officeDocument/2006/relationships/hyperlink" Target="http://www.muggaccinos.com/Rides_Stuff/FranceCycleTour/Mont/1stBC-Jean_de_Maurienne/Croix_de_%20Fer/Croix_de_Fer_from_St-Etienne.htm" TargetMode="External"/><Relationship Id="rId14" Type="http://schemas.openxmlformats.org/officeDocument/2006/relationships/hyperlink" Target="http://www.muggaccinos.com/Rides_Stuff/FranceCycleTour/Mont/1stBC-Jean_de_Maurienne/1stBC-Jean_de_Maurienne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ggaccinos.com/Rides_Stuff/FranceCycleTour/Mont/2ndBC-LeBourg_d'Oisan/Les%20Deux%20Alpes/Les_Deux_Alpes.htm" TargetMode="External"/><Relationship Id="rId13" Type="http://schemas.openxmlformats.org/officeDocument/2006/relationships/hyperlink" Target="http://www.muggaccinos.com/Rides_Stuff/FranceCycleTour/Mont/1stBC-Jean_de_Maurienne/La_Madeleine/la_madeleine.htm" TargetMode="External"/><Relationship Id="rId18" Type="http://schemas.openxmlformats.org/officeDocument/2006/relationships/hyperlink" Target="http://www.muggaccinos.com/Rides_Stuff/FranceCycleTour/Mont/2ndBC-LeBourg_d'Oisan/La%20B&#233;rarde/Bourg_d'OisansToLaB&#233;rarde.htm" TargetMode="External"/><Relationship Id="rId3" Type="http://schemas.openxmlformats.org/officeDocument/2006/relationships/hyperlink" Target="http://www.muggaccinos.com/Rides_Stuff/FranceCycleTour/Mont/1stBC-Jean_de_Maurienne/La%20Toussuire/la_toussuire_from_saint_jean_de_M.htm" TargetMode="External"/><Relationship Id="rId21" Type="http://schemas.openxmlformats.org/officeDocument/2006/relationships/comments" Target="../comments3.xml"/><Relationship Id="rId7" Type="http://schemas.openxmlformats.org/officeDocument/2006/relationships/hyperlink" Target="http://www.muggaccinos.com/Rides_Stuff/FranceCycleTour/Mont/2ndBC-LeBourg_d'Oisan/Alpe_d'Heuz/Rochetaill&#233;e_side/Rochetaill&#233;e_to_Alpe%20d'Huez.htm" TargetMode="External"/><Relationship Id="rId12" Type="http://schemas.openxmlformats.org/officeDocument/2006/relationships/hyperlink" Target="http://www.muggaccinos.com/Rides_Stuff/FranceCycleTour/Mont/1stBC-Jean_de_Maurienne/Croix_de_%20Fer/Croix_de_Fer_from_St-Etienne.htm" TargetMode="External"/><Relationship Id="rId17" Type="http://schemas.openxmlformats.org/officeDocument/2006/relationships/hyperlink" Target="http://www.muggaccinos.com/Rides_Stuff/FranceCycleTour/Mont/1stBC-Jean_de_Maurienne/1stBC-Jean_de_Maurienne.htm" TargetMode="External"/><Relationship Id="rId2" Type="http://schemas.openxmlformats.org/officeDocument/2006/relationships/hyperlink" Target="http://www.muggaccinos.com/Rides_Stuff/FranceCycleTour/Mont/2ndBC-LeBourg_d'Oisan/Villard%20Reymond/villard_reymond.htm" TargetMode="External"/><Relationship Id="rId16" Type="http://schemas.openxmlformats.org/officeDocument/2006/relationships/hyperlink" Target="http://www.muggaccinos.com/Rides_Stuff/FranceCycleTour/Mont/1stBC-Jean_de_Maurienne/1stBC-Jean_de_Maurienne.htm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http://www.muggaccinos.com/Rides_Stuff/FranceCycleTour/Mont/2ndBC-LeBourg_d'Oisan/LeGalibier/Lautaret/col_du_lautaret.htm" TargetMode="External"/><Relationship Id="rId6" Type="http://schemas.openxmlformats.org/officeDocument/2006/relationships/hyperlink" Target="http://www.muggaccinos.com/Rides_Stuff/FranceCycleTour/Mont/3rdBC-.Sault/MtVentoux/B&#233;doin_side/B&#233;doin_to_Mont_Ventoux.htm" TargetMode="External"/><Relationship Id="rId11" Type="http://schemas.openxmlformats.org/officeDocument/2006/relationships/hyperlink" Target="http://www.muggaccinos.com/Rides_Stuff/FranceCycleTour/Mont/2ndBC-LeBourg_d'Oisan/LeGalibier/Saint%20Michel/St_Michel-de-Maur-Rhone-Alpes.htm" TargetMode="External"/><Relationship Id="rId5" Type="http://schemas.openxmlformats.org/officeDocument/2006/relationships/hyperlink" Target="http://www.muggaccinos.com/Rides_Stuff/FranceCycleTour/Mont/3rdBC-.Sault/MtVentoux/Malaucene_side/Malaucene_to_Mont_Ventoux.htm" TargetMode="External"/><Relationship Id="rId15" Type="http://schemas.openxmlformats.org/officeDocument/2006/relationships/hyperlink" Target="http://www.muggaccinos.com/Rides_Stuff/FranceCycleTour/Mont/1stBC-Jean_de_Maurienne/1stBC-Jean_de_Maurienne.htm" TargetMode="External"/><Relationship Id="rId10" Type="http://schemas.openxmlformats.org/officeDocument/2006/relationships/hyperlink" Target="http://www.muggaccinos.com/Rides_Stuff/FranceCycleTour/Mont/1stBC-Jean_de_Maurienne/Col%20du%20Mollard/col_du_mollard.htm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www.muggaccinos.com/Rides_Stuff/FranceCycleTour/Mont/3rdBC-.Sault/MtVentoux/Sault_side/Sault_to_Mont_Ventoux.htm" TargetMode="External"/><Relationship Id="rId9" Type="http://schemas.openxmlformats.org/officeDocument/2006/relationships/hyperlink" Target="http://www.muggaccinos.com/Rides_Stuff/FranceCycleTour/Mont/2ndBC-LeBourg_d'Oisan/Alpe_d'Heuz/Bourg_d'Oisans_side/Bourg_d'OisanstoAlpe_d'Huez.htm" TargetMode="External"/><Relationship Id="rId14" Type="http://schemas.openxmlformats.org/officeDocument/2006/relationships/hyperlink" Target="http://www.muggaccinos.com/Rides_Stuff/FranceCycleTour/Mont/1stBC-Jean_de_Maurienne/Les%20Karelis/les_karellis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Local%20Settings/Temporary%20Internet%20Files/Content.Outlook/D1JHGI7C/CarRentals/RentalCars,com2013.jpg" TargetMode="External"/><Relationship Id="rId7" Type="http://schemas.openxmlformats.org/officeDocument/2006/relationships/comments" Target="../comments4.xml"/><Relationship Id="rId2" Type="http://schemas.openxmlformats.org/officeDocument/2006/relationships/hyperlink" Target="../../../../../../Local%20Settings/Temporary%20Internet%20Files/Content.Outlook/D1JHGI7C/2013_Flights/Jetabroad_flight_prices_to_Lyon_2.jpg" TargetMode="External"/><Relationship Id="rId1" Type="http://schemas.openxmlformats.org/officeDocument/2006/relationships/hyperlink" Target="../../../../../../Local%20Settings/Temporary%20Internet%20Files/Content.Outlook/D1JHGI7C/2013_Flights/Jetabroad_flight_prices_to_Lyon_2.jpg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../../../../../../Local%20Settings/Temporary%20Internet%20Files/Content.Outlook/D1JHGI7C/CarRentals/RentalCars,com2013.jp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omsonbiketours.com/profiles/profile.php?profile=revard.gif" TargetMode="External"/><Relationship Id="rId3" Type="http://schemas.openxmlformats.org/officeDocument/2006/relationships/hyperlink" Target="http://www.thomsonbiketours.com/profiles/profile.php?profile=croixdeferb1.gif" TargetMode="External"/><Relationship Id="rId7" Type="http://schemas.openxmlformats.org/officeDocument/2006/relationships/hyperlink" Target="http://www.thomsonbiketours.com/profiles/profile.php?profile=toussi1.gif" TargetMode="External"/><Relationship Id="rId2" Type="http://schemas.openxmlformats.org/officeDocument/2006/relationships/hyperlink" Target="http://www.thomsonbiketours.com/profiles/profile.php?profile=glandonl1.gif" TargetMode="External"/><Relationship Id="rId1" Type="http://schemas.openxmlformats.org/officeDocument/2006/relationships/hyperlink" Target="http://www.thomsonbiketours.com/profiles/profile.php?profile=galibc.gif" TargetMode="External"/><Relationship Id="rId6" Type="http://schemas.openxmlformats.org/officeDocument/2006/relationships/hyperlink" Target="http://www.thomsonbiketours.com/profiles/profile.php?profile=huezb.gif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://www.thomsonbiketours.com/profiles/profile.php?profile=grand_colombier.gif" TargetMode="External"/><Relationship Id="rId10" Type="http://schemas.openxmlformats.org/officeDocument/2006/relationships/hyperlink" Target="http://www.thomsonbiketours.com/profiles/profile.php?profile=cucheron.gif" TargetMode="External"/><Relationship Id="rId4" Type="http://schemas.openxmlformats.org/officeDocument/2006/relationships/hyperlink" Target="http://www.thomsonbiketours.com/profiles/profile.php?profile=sarenne.gif" TargetMode="External"/><Relationship Id="rId9" Type="http://schemas.openxmlformats.org/officeDocument/2006/relationships/hyperlink" Target="http://www.thomsonbiketours.com/profiles/profile.php?profile=mollard1.gi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X28"/>
  <sheetViews>
    <sheetView workbookViewId="0">
      <selection activeCell="A7" sqref="A7"/>
    </sheetView>
  </sheetViews>
  <sheetFormatPr defaultRowHeight="12.75" x14ac:dyDescent="0.2"/>
  <cols>
    <col min="1" max="1" width="4.42578125" customWidth="1"/>
    <col min="2" max="2" width="4.28515625" style="67" customWidth="1"/>
    <col min="3" max="3" width="10.5703125" style="67" customWidth="1"/>
    <col min="4" max="4" width="6.28515625" style="67" customWidth="1"/>
    <col min="5" max="5" width="5.7109375" style="67" customWidth="1"/>
    <col min="6" max="6" width="27" customWidth="1"/>
    <col min="7" max="7" width="40.28515625" customWidth="1"/>
    <col min="8" max="8" width="8.5703125" customWidth="1"/>
    <col min="9" max="9" width="8.7109375" style="67" customWidth="1"/>
    <col min="10" max="11" width="8.85546875" customWidth="1"/>
    <col min="12" max="12" width="9.42578125" customWidth="1"/>
    <col min="13" max="13" width="9.7109375" customWidth="1"/>
    <col min="14" max="14" width="10.5703125" customWidth="1"/>
    <col min="15" max="15" width="8.28515625" customWidth="1"/>
    <col min="16" max="16" width="9.42578125" customWidth="1"/>
    <col min="17" max="17" width="7.85546875" customWidth="1"/>
    <col min="18" max="18" width="9.5703125" style="67" customWidth="1"/>
    <col min="19" max="19" width="9.140625" style="67" customWidth="1"/>
    <col min="20" max="20" width="9.5703125" customWidth="1"/>
    <col min="23" max="23" width="8.5703125" customWidth="1"/>
  </cols>
  <sheetData>
    <row r="4" spans="1:23" x14ac:dyDescent="0.2">
      <c r="G4" s="143"/>
    </row>
    <row r="5" spans="1:23" ht="64.5" customHeight="1" x14ac:dyDescent="0.2">
      <c r="A5" s="67" t="s">
        <v>55</v>
      </c>
      <c r="B5" s="67" t="s">
        <v>1</v>
      </c>
      <c r="C5" s="196" t="s">
        <v>183</v>
      </c>
      <c r="D5" s="185"/>
      <c r="E5" s="184" t="s">
        <v>167</v>
      </c>
      <c r="F5" s="80" t="s">
        <v>152</v>
      </c>
      <c r="G5" s="175">
        <v>1840</v>
      </c>
      <c r="H5" s="176" t="s">
        <v>165</v>
      </c>
      <c r="I5" s="176" t="str">
        <f>H5</f>
        <v>Depart Syd date</v>
      </c>
      <c r="J5" s="176" t="s">
        <v>166</v>
      </c>
      <c r="K5" s="176" t="s">
        <v>153</v>
      </c>
      <c r="L5" s="176" t="s">
        <v>198</v>
      </c>
      <c r="M5" s="176" t="s">
        <v>199</v>
      </c>
      <c r="N5" s="176" t="s">
        <v>188</v>
      </c>
      <c r="O5" s="176" t="s">
        <v>189</v>
      </c>
      <c r="P5" s="176" t="s">
        <v>193</v>
      </c>
      <c r="Q5" s="176" t="str">
        <f>P5</f>
        <v>Arrive Lyon Airport</v>
      </c>
      <c r="R5" s="176" t="str">
        <f>P5</f>
        <v>Arrive Lyon Airport</v>
      </c>
      <c r="S5" s="176" t="s">
        <v>158</v>
      </c>
      <c r="T5" s="176" t="s">
        <v>159</v>
      </c>
      <c r="U5" s="176" t="s">
        <v>163</v>
      </c>
      <c r="V5" s="176" t="s">
        <v>164</v>
      </c>
      <c r="W5" s="176" t="s">
        <v>171</v>
      </c>
    </row>
    <row r="6" spans="1:23" x14ac:dyDescent="0.2">
      <c r="B6" s="67">
        <v>1</v>
      </c>
      <c r="C6" s="186">
        <f>P6</f>
        <v>41522</v>
      </c>
      <c r="D6" s="123" t="str">
        <f t="shared" ref="D6:D23" si="0">TEXT(C6,"ddd")</f>
        <v>Thu</v>
      </c>
      <c r="E6" s="67" t="s">
        <v>184</v>
      </c>
      <c r="F6" t="s">
        <v>190</v>
      </c>
      <c r="G6" t="s">
        <v>200</v>
      </c>
      <c r="H6" s="178">
        <v>41521</v>
      </c>
      <c r="I6" s="179" t="str">
        <f>TEXT(H6,"ddd")</f>
        <v>Wed</v>
      </c>
      <c r="J6" s="193">
        <v>0.54861111111111105</v>
      </c>
      <c r="K6" s="180" t="s">
        <v>197</v>
      </c>
      <c r="L6" s="197">
        <v>0.8125</v>
      </c>
      <c r="M6" s="197">
        <v>0.96527777777777779</v>
      </c>
      <c r="N6" s="197">
        <v>0.25694444444444448</v>
      </c>
      <c r="O6" s="197">
        <v>0.38194444444444442</v>
      </c>
      <c r="P6" s="113">
        <v>41522</v>
      </c>
      <c r="Q6" s="88" t="str">
        <f>TEXT(P6,"ddd")</f>
        <v>Thu</v>
      </c>
      <c r="R6" s="174" t="s">
        <v>154</v>
      </c>
      <c r="S6" s="174" t="s">
        <v>160</v>
      </c>
      <c r="T6" s="174" t="s">
        <v>161</v>
      </c>
      <c r="U6" s="177">
        <v>0.60416666666666663</v>
      </c>
      <c r="V6" s="177">
        <v>0.625</v>
      </c>
      <c r="W6" s="177">
        <v>0.67708333333333337</v>
      </c>
    </row>
    <row r="7" spans="1:23" x14ac:dyDescent="0.2">
      <c r="A7" s="126" t="s">
        <v>79</v>
      </c>
      <c r="B7" s="67">
        <v>2</v>
      </c>
      <c r="C7" s="186">
        <f>P6+1</f>
        <v>41523</v>
      </c>
      <c r="D7" s="123" t="str">
        <f t="shared" si="0"/>
        <v>Fri</v>
      </c>
      <c r="E7" s="182">
        <v>1</v>
      </c>
      <c r="H7" s="113"/>
      <c r="I7" s="88"/>
      <c r="J7" s="172"/>
      <c r="K7" s="173"/>
      <c r="L7" s="173"/>
      <c r="M7" s="199">
        <f>M6-L6</f>
        <v>0.15277777777777779</v>
      </c>
      <c r="N7" s="173"/>
      <c r="O7" s="199">
        <f>O6-N6</f>
        <v>0.12499999999999994</v>
      </c>
      <c r="P7" s="113"/>
      <c r="Q7" s="88"/>
      <c r="R7" s="174"/>
      <c r="S7" s="174"/>
    </row>
    <row r="8" spans="1:23" x14ac:dyDescent="0.2">
      <c r="A8" s="126" t="s">
        <v>79</v>
      </c>
      <c r="B8" s="67">
        <v>3</v>
      </c>
      <c r="C8" s="186">
        <f>C7+1</f>
        <v>41524</v>
      </c>
      <c r="D8" s="123" t="str">
        <f t="shared" si="0"/>
        <v>Sat</v>
      </c>
      <c r="E8" s="182">
        <v>2</v>
      </c>
      <c r="H8" s="113"/>
      <c r="I8" s="88"/>
      <c r="J8" s="172"/>
      <c r="K8" s="173"/>
      <c r="L8" s="173"/>
      <c r="M8" s="173"/>
      <c r="N8" s="173"/>
      <c r="O8" s="173"/>
      <c r="P8" s="113"/>
      <c r="Q8" s="88"/>
      <c r="R8" s="174"/>
      <c r="S8" s="174"/>
    </row>
    <row r="9" spans="1:23" x14ac:dyDescent="0.2">
      <c r="A9" s="126" t="s">
        <v>79</v>
      </c>
      <c r="B9" s="67">
        <v>4</v>
      </c>
      <c r="C9" s="186">
        <f>C8+1</f>
        <v>41525</v>
      </c>
      <c r="D9" s="123" t="str">
        <f t="shared" si="0"/>
        <v>Sun</v>
      </c>
      <c r="E9" s="182">
        <v>3</v>
      </c>
      <c r="H9" s="113"/>
      <c r="I9" s="88"/>
      <c r="J9" s="172"/>
      <c r="K9" s="173"/>
      <c r="L9" s="173"/>
      <c r="M9" s="173"/>
      <c r="N9" s="173"/>
      <c r="O9" s="173"/>
      <c r="P9" s="113"/>
      <c r="Q9" s="88"/>
      <c r="R9" s="174"/>
      <c r="S9" s="174"/>
    </row>
    <row r="10" spans="1:23" x14ac:dyDescent="0.2">
      <c r="A10" s="126" t="s">
        <v>79</v>
      </c>
      <c r="B10" s="67">
        <v>5</v>
      </c>
      <c r="C10" s="186">
        <f>C9+1</f>
        <v>41526</v>
      </c>
      <c r="D10" s="123" t="str">
        <f t="shared" si="0"/>
        <v>Mon</v>
      </c>
      <c r="E10" s="182">
        <v>4</v>
      </c>
      <c r="H10" s="113"/>
      <c r="I10" s="88"/>
      <c r="J10" s="172"/>
      <c r="K10" s="173"/>
      <c r="L10" s="173"/>
      <c r="M10" s="173"/>
      <c r="N10" s="173"/>
      <c r="O10" s="173"/>
      <c r="P10" s="113"/>
      <c r="Q10" s="88"/>
      <c r="R10" s="174"/>
      <c r="S10" s="174"/>
    </row>
    <row r="11" spans="1:23" x14ac:dyDescent="0.2">
      <c r="A11" s="126" t="s">
        <v>79</v>
      </c>
      <c r="B11" s="67">
        <v>6</v>
      </c>
      <c r="C11" s="186">
        <f>C10+1</f>
        <v>41527</v>
      </c>
      <c r="D11" s="123" t="str">
        <f t="shared" si="0"/>
        <v>Tue</v>
      </c>
      <c r="E11" s="182">
        <v>5</v>
      </c>
      <c r="H11" s="113"/>
      <c r="I11" s="88"/>
      <c r="J11" s="172"/>
      <c r="K11" s="173"/>
      <c r="L11" s="173"/>
      <c r="M11" s="173"/>
      <c r="N11" s="173"/>
      <c r="O11" s="173"/>
      <c r="P11" s="113"/>
      <c r="Q11" s="88"/>
      <c r="R11" s="174"/>
      <c r="S11" s="174"/>
    </row>
    <row r="12" spans="1:23" x14ac:dyDescent="0.2">
      <c r="A12" s="126" t="s">
        <v>79</v>
      </c>
      <c r="B12" s="67">
        <v>7</v>
      </c>
      <c r="C12" s="186">
        <f t="shared" ref="C12:C20" si="1">C11+1</f>
        <v>41528</v>
      </c>
      <c r="D12" s="123" t="str">
        <f t="shared" si="0"/>
        <v>Wed</v>
      </c>
      <c r="E12" s="182">
        <v>6</v>
      </c>
      <c r="H12" s="113"/>
      <c r="I12" s="88"/>
      <c r="J12" s="172"/>
      <c r="K12" s="173"/>
      <c r="L12" s="173"/>
      <c r="M12" s="173"/>
      <c r="N12" s="173"/>
      <c r="O12" s="173"/>
      <c r="P12" s="113"/>
      <c r="Q12" s="88"/>
      <c r="R12" s="174"/>
      <c r="S12" s="174"/>
    </row>
    <row r="13" spans="1:23" x14ac:dyDescent="0.2">
      <c r="A13" s="126" t="s">
        <v>79</v>
      </c>
      <c r="B13" s="181">
        <v>8</v>
      </c>
      <c r="C13" s="186">
        <f t="shared" si="1"/>
        <v>41529</v>
      </c>
      <c r="D13" s="123" t="str">
        <f t="shared" si="0"/>
        <v>Thu</v>
      </c>
      <c r="E13" s="182">
        <v>7</v>
      </c>
      <c r="H13" s="113"/>
      <c r="I13" s="88"/>
      <c r="J13" s="172"/>
      <c r="K13" s="173"/>
      <c r="L13" s="173"/>
      <c r="M13" s="173"/>
      <c r="N13" s="173"/>
      <c r="O13" s="173"/>
      <c r="P13" s="113"/>
      <c r="Q13" s="88"/>
      <c r="R13" s="174"/>
      <c r="S13" s="174"/>
    </row>
    <row r="14" spans="1:23" x14ac:dyDescent="0.2">
      <c r="A14" s="126" t="s">
        <v>79</v>
      </c>
      <c r="B14" s="67">
        <v>9</v>
      </c>
      <c r="C14" s="186">
        <f t="shared" si="1"/>
        <v>41530</v>
      </c>
      <c r="D14" s="123" t="str">
        <f t="shared" si="0"/>
        <v>Fri</v>
      </c>
      <c r="E14" s="183">
        <v>8</v>
      </c>
      <c r="H14" s="113"/>
      <c r="I14" s="88"/>
      <c r="J14" s="172"/>
      <c r="K14" s="173"/>
      <c r="L14" s="173"/>
      <c r="M14" s="173"/>
      <c r="N14" s="173"/>
      <c r="O14" s="173"/>
      <c r="P14" s="113"/>
      <c r="Q14" s="88"/>
      <c r="R14" s="174"/>
      <c r="S14" s="174"/>
    </row>
    <row r="15" spans="1:23" x14ac:dyDescent="0.2">
      <c r="A15" s="126" t="s">
        <v>80</v>
      </c>
      <c r="B15" s="67">
        <v>10</v>
      </c>
      <c r="C15" s="186">
        <f t="shared" si="1"/>
        <v>41531</v>
      </c>
      <c r="D15" s="123" t="str">
        <f t="shared" si="0"/>
        <v>Sat</v>
      </c>
      <c r="E15" s="182">
        <v>9</v>
      </c>
      <c r="H15" s="113"/>
      <c r="I15" s="88"/>
      <c r="J15" s="172"/>
      <c r="K15" s="173"/>
      <c r="L15" s="173"/>
      <c r="M15" s="173"/>
      <c r="N15" s="173"/>
      <c r="O15" s="173"/>
      <c r="P15" s="113"/>
      <c r="Q15" s="88"/>
      <c r="R15" s="174"/>
      <c r="S15" s="174"/>
    </row>
    <row r="16" spans="1:23" x14ac:dyDescent="0.2">
      <c r="A16" s="126" t="s">
        <v>80</v>
      </c>
      <c r="B16" s="67">
        <v>11</v>
      </c>
      <c r="C16" s="186">
        <f t="shared" si="1"/>
        <v>41532</v>
      </c>
      <c r="D16" s="123" t="str">
        <f t="shared" si="0"/>
        <v>Sun</v>
      </c>
      <c r="E16" s="182">
        <v>10</v>
      </c>
      <c r="H16" s="113"/>
      <c r="I16" s="88"/>
      <c r="J16" s="172"/>
      <c r="K16" s="173"/>
      <c r="L16" s="173"/>
      <c r="M16" s="173"/>
      <c r="N16" s="173"/>
      <c r="O16" s="173"/>
      <c r="P16" s="113"/>
      <c r="Q16" s="88"/>
      <c r="R16" s="174"/>
      <c r="S16" s="174"/>
    </row>
    <row r="17" spans="1:24" x14ac:dyDescent="0.2">
      <c r="A17" s="126" t="s">
        <v>80</v>
      </c>
      <c r="B17" s="67">
        <v>12</v>
      </c>
      <c r="C17" s="186">
        <f t="shared" si="1"/>
        <v>41533</v>
      </c>
      <c r="D17" s="123" t="str">
        <f t="shared" si="0"/>
        <v>Mon</v>
      </c>
      <c r="E17" s="182">
        <v>11</v>
      </c>
      <c r="H17" s="113"/>
      <c r="I17" s="88"/>
      <c r="J17" s="172"/>
      <c r="K17" s="173"/>
      <c r="L17" s="173"/>
      <c r="M17" s="173"/>
      <c r="N17" s="173"/>
      <c r="O17" s="173"/>
      <c r="P17" s="113"/>
      <c r="Q17" s="88"/>
      <c r="R17" s="174"/>
      <c r="S17" s="174"/>
    </row>
    <row r="18" spans="1:24" x14ac:dyDescent="0.2">
      <c r="A18" s="126" t="s">
        <v>80</v>
      </c>
      <c r="B18" s="67">
        <v>13</v>
      </c>
      <c r="C18" s="186">
        <f t="shared" si="1"/>
        <v>41534</v>
      </c>
      <c r="D18" s="123" t="str">
        <f t="shared" si="0"/>
        <v>Tue</v>
      </c>
      <c r="E18" s="182">
        <v>12</v>
      </c>
      <c r="H18" s="113"/>
      <c r="I18" s="88"/>
      <c r="J18" s="172"/>
      <c r="K18" s="173"/>
      <c r="L18" s="173"/>
      <c r="M18" s="173"/>
      <c r="N18" s="173"/>
      <c r="O18" s="173"/>
      <c r="P18" s="113"/>
      <c r="Q18" s="88"/>
      <c r="R18" s="174"/>
      <c r="S18" s="174"/>
    </row>
    <row r="19" spans="1:24" x14ac:dyDescent="0.2">
      <c r="A19" s="126" t="s">
        <v>80</v>
      </c>
      <c r="B19" s="67">
        <v>14</v>
      </c>
      <c r="C19" s="186">
        <f t="shared" si="1"/>
        <v>41535</v>
      </c>
      <c r="D19" s="123" t="str">
        <f t="shared" si="0"/>
        <v>Wed</v>
      </c>
      <c r="E19" s="182">
        <v>13</v>
      </c>
    </row>
    <row r="20" spans="1:24" x14ac:dyDescent="0.2">
      <c r="A20" s="126" t="s">
        <v>80</v>
      </c>
      <c r="B20" s="67">
        <v>15</v>
      </c>
      <c r="C20" s="186">
        <f t="shared" si="1"/>
        <v>41536</v>
      </c>
      <c r="D20" s="123" t="str">
        <f t="shared" si="0"/>
        <v>Thu</v>
      </c>
      <c r="E20" s="182">
        <v>14</v>
      </c>
    </row>
    <row r="21" spans="1:24" x14ac:dyDescent="0.2">
      <c r="A21" s="126" t="s">
        <v>80</v>
      </c>
      <c r="B21" s="67">
        <v>16</v>
      </c>
      <c r="C21" s="186">
        <f>C20+1</f>
        <v>41537</v>
      </c>
      <c r="D21" s="123" t="str">
        <f t="shared" si="0"/>
        <v>Fri</v>
      </c>
      <c r="E21" s="182">
        <v>15</v>
      </c>
    </row>
    <row r="22" spans="1:24" x14ac:dyDescent="0.2">
      <c r="A22" s="126" t="s">
        <v>80</v>
      </c>
      <c r="B22" s="67">
        <v>17</v>
      </c>
      <c r="C22" s="186">
        <f>C21+1</f>
        <v>41538</v>
      </c>
      <c r="D22" s="123" t="str">
        <f t="shared" si="0"/>
        <v>Sat</v>
      </c>
      <c r="E22" s="182">
        <v>16</v>
      </c>
      <c r="H22" s="67"/>
      <c r="J22" s="67"/>
      <c r="K22" s="67"/>
      <c r="L22" s="67"/>
      <c r="M22" s="67"/>
      <c r="N22" s="67"/>
      <c r="O22" s="67"/>
      <c r="P22" s="67"/>
      <c r="Q22" s="67"/>
    </row>
    <row r="23" spans="1:24" x14ac:dyDescent="0.2">
      <c r="B23" s="67">
        <v>18</v>
      </c>
      <c r="C23" s="88">
        <f>N26</f>
        <v>41539</v>
      </c>
      <c r="D23" s="67" t="str">
        <f t="shared" si="0"/>
        <v>Sun</v>
      </c>
      <c r="E23" s="67" t="s">
        <v>184</v>
      </c>
      <c r="F23" t="s">
        <v>191</v>
      </c>
      <c r="G23" t="s">
        <v>155</v>
      </c>
      <c r="S23" s="174"/>
    </row>
    <row r="24" spans="1:24" x14ac:dyDescent="0.2">
      <c r="H24" s="194">
        <f>N26-H6</f>
        <v>18</v>
      </c>
      <c r="I24" s="88"/>
      <c r="J24" s="174"/>
      <c r="K24" s="173"/>
      <c r="L24" s="173"/>
      <c r="M24" s="173"/>
      <c r="N24" s="173"/>
      <c r="O24" s="173"/>
      <c r="P24" s="113"/>
      <c r="Q24" s="88"/>
      <c r="R24" s="174"/>
      <c r="S24" s="174"/>
    </row>
    <row r="25" spans="1:24" ht="78" customHeight="1" x14ac:dyDescent="0.2">
      <c r="H25" s="176" t="s">
        <v>185</v>
      </c>
      <c r="I25" s="176" t="s">
        <v>172</v>
      </c>
      <c r="J25" s="176" t="s">
        <v>173</v>
      </c>
      <c r="K25" s="176" t="s">
        <v>175</v>
      </c>
      <c r="L25" s="176" t="s">
        <v>174</v>
      </c>
      <c r="M25" s="176" t="s">
        <v>176</v>
      </c>
      <c r="N25" s="176" t="s">
        <v>177</v>
      </c>
      <c r="O25" s="176" t="s">
        <v>178</v>
      </c>
      <c r="P25" s="176" t="s">
        <v>179</v>
      </c>
      <c r="Q25" s="176" t="s">
        <v>192</v>
      </c>
      <c r="R25" s="176" t="s">
        <v>194</v>
      </c>
      <c r="S25" s="176" t="s">
        <v>195</v>
      </c>
      <c r="T25" s="176" t="s">
        <v>196</v>
      </c>
      <c r="U25" s="176" t="s">
        <v>153</v>
      </c>
      <c r="V25" s="176" t="s">
        <v>180</v>
      </c>
      <c r="W25" s="176" t="s">
        <v>181</v>
      </c>
      <c r="X25" s="176" t="s">
        <v>182</v>
      </c>
    </row>
    <row r="26" spans="1:24" x14ac:dyDescent="0.2">
      <c r="H26" s="177">
        <v>0.3125</v>
      </c>
      <c r="I26" s="195">
        <v>0.97916666666666663</v>
      </c>
      <c r="J26" s="195">
        <v>0.5</v>
      </c>
      <c r="K26" s="195">
        <v>0.58333333333333337</v>
      </c>
      <c r="L26" s="195">
        <v>0.66666666666666663</v>
      </c>
      <c r="M26" s="195">
        <v>0.6875</v>
      </c>
      <c r="N26" s="113">
        <v>41539</v>
      </c>
      <c r="O26" s="88" t="str">
        <f>TEXT(N26,"dddd")</f>
        <v>Sunday</v>
      </c>
      <c r="P26" s="174" t="s">
        <v>156</v>
      </c>
      <c r="Q26" s="177">
        <v>0.83333333333333337</v>
      </c>
      <c r="R26" s="195">
        <v>0.94791666666666663</v>
      </c>
      <c r="S26" s="195">
        <v>0.61111111111111105</v>
      </c>
      <c r="T26" s="177">
        <v>0.80555555555555547</v>
      </c>
      <c r="U26" s="173" t="s">
        <v>157</v>
      </c>
      <c r="V26" s="113">
        <f>N26+2</f>
        <v>41541</v>
      </c>
      <c r="W26" s="88" t="str">
        <f>TEXT(V26,"dddd")</f>
        <v>Tuesday</v>
      </c>
      <c r="X26" s="198">
        <v>0.30555555555555552</v>
      </c>
    </row>
    <row r="27" spans="1:24" x14ac:dyDescent="0.2">
      <c r="Q27" s="199">
        <f>Q26-P26</f>
        <v>4.1666666666666741E-2</v>
      </c>
      <c r="S27" s="199" t="s">
        <v>46</v>
      </c>
      <c r="T27" s="199">
        <f>T26-S26</f>
        <v>0.19444444444444442</v>
      </c>
    </row>
    <row r="28" spans="1:24" ht="54.75" customHeight="1" x14ac:dyDescent="0.2"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opLeftCell="B1" workbookViewId="0">
      <selection activeCell="G26" sqref="G26"/>
    </sheetView>
  </sheetViews>
  <sheetFormatPr defaultRowHeight="16.5" x14ac:dyDescent="0.3"/>
  <cols>
    <col min="1" max="1" width="3.28515625" customWidth="1"/>
    <col min="2" max="2" width="3.42578125" style="21" customWidth="1"/>
    <col min="3" max="3" width="4.7109375" style="67" customWidth="1"/>
    <col min="4" max="4" width="10.140625" customWidth="1"/>
    <col min="5" max="5" width="5.85546875" customWidth="1"/>
    <col min="6" max="6" width="5.7109375" customWidth="1"/>
    <col min="7" max="7" width="53.140625" customWidth="1"/>
    <col min="8" max="8" width="5.28515625" customWidth="1"/>
    <col min="9" max="9" width="6" style="1" customWidth="1"/>
    <col min="10" max="10" width="5.42578125" style="1" customWidth="1"/>
    <col min="11" max="11" width="6" style="1" customWidth="1"/>
    <col min="12" max="12" width="6.42578125" customWidth="1"/>
    <col min="13" max="13" width="7.5703125" customWidth="1"/>
    <col min="14" max="14" width="7.85546875" customWidth="1"/>
    <col min="15" max="15" width="7.7109375" customWidth="1"/>
    <col min="16" max="17" width="7.85546875" customWidth="1"/>
    <col min="18" max="18" width="7.85546875" style="1" customWidth="1"/>
    <col min="19" max="19" width="6.140625" customWidth="1"/>
    <col min="20" max="20" width="5" customWidth="1"/>
    <col min="21" max="21" width="7.7109375" customWidth="1"/>
    <col min="22" max="22" width="7.5703125" style="67" customWidth="1"/>
    <col min="23" max="23" width="6.7109375" customWidth="1"/>
    <col min="24" max="24" width="7.5703125" customWidth="1"/>
    <col min="25" max="25" width="7.85546875" customWidth="1"/>
    <col min="26" max="26" width="6.42578125" customWidth="1"/>
    <col min="27" max="27" width="5.85546875" customWidth="1"/>
    <col min="28" max="28" width="4.85546875" customWidth="1"/>
    <col min="29" max="30" width="5.28515625" customWidth="1"/>
    <col min="31" max="31" width="6" customWidth="1"/>
  </cols>
  <sheetData>
    <row r="1" spans="1:32" ht="18.75" x14ac:dyDescent="0.3">
      <c r="J1" s="65" t="s">
        <v>46</v>
      </c>
      <c r="L1" s="52" t="s">
        <v>162</v>
      </c>
    </row>
    <row r="2" spans="1:32" ht="65.25" customHeight="1" x14ac:dyDescent="0.3">
      <c r="A2" s="97" t="s">
        <v>1</v>
      </c>
      <c r="B2" s="31" t="s">
        <v>55</v>
      </c>
      <c r="C2" s="187" t="s">
        <v>169</v>
      </c>
      <c r="D2" s="32" t="s">
        <v>2</v>
      </c>
      <c r="E2" s="31" t="s">
        <v>1</v>
      </c>
      <c r="F2" s="33" t="s">
        <v>85</v>
      </c>
      <c r="G2" s="33"/>
      <c r="H2" s="54" t="s">
        <v>11</v>
      </c>
      <c r="I2" s="61" t="s">
        <v>6</v>
      </c>
      <c r="J2" s="61" t="s">
        <v>45</v>
      </c>
      <c r="K2" s="61" t="s">
        <v>50</v>
      </c>
      <c r="L2" s="62" t="s">
        <v>4</v>
      </c>
      <c r="M2" s="62" t="s">
        <v>5</v>
      </c>
      <c r="N2" s="62" t="s">
        <v>8</v>
      </c>
      <c r="O2" s="63" t="s">
        <v>7</v>
      </c>
      <c r="P2" s="62" t="s">
        <v>61</v>
      </c>
      <c r="Q2" s="62" t="s">
        <v>62</v>
      </c>
      <c r="R2" s="61" t="s">
        <v>60</v>
      </c>
      <c r="S2" s="60" t="s">
        <v>35</v>
      </c>
      <c r="T2" s="60" t="s">
        <v>12</v>
      </c>
      <c r="U2" s="63" t="s">
        <v>36</v>
      </c>
      <c r="V2" s="63" t="s">
        <v>41</v>
      </c>
      <c r="W2" s="60" t="s">
        <v>9</v>
      </c>
      <c r="X2" s="60" t="s">
        <v>37</v>
      </c>
      <c r="Y2" s="60" t="s">
        <v>59</v>
      </c>
      <c r="Z2" s="60" t="s">
        <v>63</v>
      </c>
      <c r="AA2" s="54" t="s">
        <v>42</v>
      </c>
      <c r="AB2" s="54" t="s">
        <v>43</v>
      </c>
      <c r="AC2" s="64" t="s">
        <v>47</v>
      </c>
      <c r="AD2" s="60" t="s">
        <v>44</v>
      </c>
      <c r="AE2" s="53" t="s">
        <v>84</v>
      </c>
      <c r="AF2" s="51"/>
    </row>
    <row r="3" spans="1:32" x14ac:dyDescent="0.3">
      <c r="A3">
        <v>1</v>
      </c>
      <c r="B3" s="102" t="s">
        <v>79</v>
      </c>
      <c r="D3" s="200">
        <f>'2013 Flights'!P6</f>
        <v>41522</v>
      </c>
      <c r="E3" s="76" t="str">
        <f t="shared" ref="E3:E11" si="0">TEXT(D3,"ddd")</f>
        <v>Thu</v>
      </c>
      <c r="F3" s="76">
        <v>1</v>
      </c>
      <c r="G3" t="s">
        <v>170</v>
      </c>
    </row>
    <row r="4" spans="1:32" x14ac:dyDescent="0.3">
      <c r="A4" s="21">
        <v>2</v>
      </c>
      <c r="B4" s="102" t="s">
        <v>79</v>
      </c>
      <c r="C4" s="76">
        <v>1</v>
      </c>
      <c r="D4" s="190">
        <f>'2013 Flights'!C7</f>
        <v>41523</v>
      </c>
      <c r="E4" s="76" t="str">
        <f t="shared" si="0"/>
        <v>Fri</v>
      </c>
      <c r="F4" s="76">
        <v>2</v>
      </c>
      <c r="G4" s="48" t="s">
        <v>52</v>
      </c>
      <c r="H4" s="27"/>
      <c r="I4" s="28">
        <v>0.35416666666666602</v>
      </c>
      <c r="J4" s="28">
        <v>0</v>
      </c>
      <c r="K4" s="28">
        <f t="shared" ref="K4:K9" si="1">I4+J4</f>
        <v>0.35416666666666602</v>
      </c>
      <c r="L4" s="34">
        <v>560</v>
      </c>
      <c r="M4" s="34">
        <v>1665</v>
      </c>
      <c r="N4" s="34">
        <f t="shared" ref="N4:N9" si="2">M4-L4</f>
        <v>1105</v>
      </c>
      <c r="O4" s="44">
        <v>17.78</v>
      </c>
      <c r="P4" s="47">
        <f t="shared" ref="P4:P9" si="3">N4/(O4*1000)</f>
        <v>6.2148481439820019E-2</v>
      </c>
      <c r="Q4" s="36">
        <v>6.0999999999999999E-2</v>
      </c>
      <c r="R4" s="28">
        <v>8.3333333333333329E-2</v>
      </c>
      <c r="S4" s="28">
        <f t="shared" ref="S4:S9" si="4">K4+R4</f>
        <v>0.43749999999999933</v>
      </c>
      <c r="T4" s="28">
        <v>2.0833333333333332E-2</v>
      </c>
      <c r="U4" s="49">
        <f t="shared" ref="U4:U9" si="5">V4-O4</f>
        <v>21.22</v>
      </c>
      <c r="V4" s="71">
        <v>39</v>
      </c>
      <c r="W4" s="28">
        <f t="shared" ref="W4:W9" si="6">S4+T4</f>
        <v>0.45833333333333265</v>
      </c>
      <c r="X4" s="28">
        <v>3.8194444444444441E-2</v>
      </c>
      <c r="Y4" s="28">
        <f t="shared" ref="Y4:Y9" si="7">R4+X4</f>
        <v>0.12152777777777776</v>
      </c>
      <c r="Z4" s="28">
        <f t="shared" ref="Z4:Z9" si="8">W4+X4</f>
        <v>0.49652777777777707</v>
      </c>
      <c r="AA4" s="27"/>
      <c r="AB4" s="27">
        <f t="shared" ref="AB4:AB8" si="9">H4+AA4</f>
        <v>0</v>
      </c>
      <c r="AC4" s="27"/>
      <c r="AD4" s="66">
        <f t="shared" ref="AD4:AD8" si="10">Z4+AC4</f>
        <v>0.49652777777777707</v>
      </c>
      <c r="AE4" s="73">
        <v>12</v>
      </c>
    </row>
    <row r="5" spans="1:32" x14ac:dyDescent="0.3">
      <c r="A5" s="21">
        <v>3</v>
      </c>
      <c r="B5" s="102" t="s">
        <v>79</v>
      </c>
      <c r="C5" s="76">
        <v>2</v>
      </c>
      <c r="D5" s="190">
        <f>'2013 Flights'!C8</f>
        <v>41524</v>
      </c>
      <c r="E5" s="76" t="str">
        <f>TEXT(D5,"ddd")</f>
        <v>Sat</v>
      </c>
      <c r="F5" s="76">
        <v>3</v>
      </c>
      <c r="G5" s="48" t="s">
        <v>53</v>
      </c>
      <c r="H5" s="27">
        <v>29.5</v>
      </c>
      <c r="I5" s="28">
        <v>0.35416666666666502</v>
      </c>
      <c r="J5" s="28">
        <v>3.8194444444444441E-2</v>
      </c>
      <c r="K5" s="28">
        <f t="shared" si="1"/>
        <v>0.39236111111110944</v>
      </c>
      <c r="L5" s="34">
        <v>1413</v>
      </c>
      <c r="M5" s="34">
        <v>2642</v>
      </c>
      <c r="N5" s="34">
        <f t="shared" si="2"/>
        <v>1229</v>
      </c>
      <c r="O5" s="44">
        <v>19.52</v>
      </c>
      <c r="P5" s="47">
        <f t="shared" si="3"/>
        <v>6.2961065573770486E-2</v>
      </c>
      <c r="Q5" s="36">
        <v>0.12</v>
      </c>
      <c r="R5" s="28">
        <v>9.7222222222222224E-2</v>
      </c>
      <c r="S5" s="28">
        <f t="shared" si="4"/>
        <v>0.48958333333333165</v>
      </c>
      <c r="T5" s="28">
        <v>2.0833333333333402E-2</v>
      </c>
      <c r="U5" s="49">
        <f t="shared" si="5"/>
        <v>23.080000000000002</v>
      </c>
      <c r="V5" s="71">
        <v>42.6</v>
      </c>
      <c r="W5" s="28">
        <f t="shared" si="6"/>
        <v>0.51041666666666508</v>
      </c>
      <c r="X5" s="28">
        <v>4.1666666666666664E-2</v>
      </c>
      <c r="Y5" s="28">
        <f t="shared" si="7"/>
        <v>0.1388888888888889</v>
      </c>
      <c r="Z5" s="28">
        <f t="shared" si="8"/>
        <v>0.55208333333333171</v>
      </c>
      <c r="AA5" s="27"/>
      <c r="AB5" s="27">
        <f t="shared" si="9"/>
        <v>29.5</v>
      </c>
      <c r="AC5" s="27"/>
      <c r="AD5" s="66">
        <f t="shared" si="10"/>
        <v>0.55208333333333171</v>
      </c>
      <c r="AE5" s="73">
        <v>7</v>
      </c>
    </row>
    <row r="6" spans="1:32" x14ac:dyDescent="0.3">
      <c r="A6" s="21">
        <v>4</v>
      </c>
      <c r="B6" s="102" t="s">
        <v>79</v>
      </c>
      <c r="C6" s="76">
        <v>3</v>
      </c>
      <c r="D6" s="190">
        <f>'2013 Flights'!C9</f>
        <v>41525</v>
      </c>
      <c r="E6" s="76" t="str">
        <f>TEXT(D6,"ddd")</f>
        <v>Sun</v>
      </c>
      <c r="F6" s="76">
        <v>4</v>
      </c>
      <c r="G6" s="48" t="s">
        <v>58</v>
      </c>
      <c r="H6" s="27"/>
      <c r="I6" s="28">
        <v>0.35416666666666402</v>
      </c>
      <c r="J6" s="28">
        <v>0</v>
      </c>
      <c r="K6" s="28">
        <f t="shared" si="1"/>
        <v>0.35416666666666402</v>
      </c>
      <c r="L6" s="34">
        <v>752</v>
      </c>
      <c r="M6" s="34">
        <v>1780</v>
      </c>
      <c r="N6" s="34">
        <f t="shared" si="2"/>
        <v>1028</v>
      </c>
      <c r="O6" s="44">
        <v>13.2</v>
      </c>
      <c r="P6" s="47">
        <f t="shared" si="3"/>
        <v>7.7878787878787881E-2</v>
      </c>
      <c r="Q6" s="36">
        <v>0.106</v>
      </c>
      <c r="R6" s="28">
        <v>0.1111111111111111</v>
      </c>
      <c r="S6" s="28">
        <f t="shared" si="4"/>
        <v>0.46527777777777513</v>
      </c>
      <c r="T6" s="28">
        <v>2.0833333333333402E-2</v>
      </c>
      <c r="U6" s="42">
        <f t="shared" si="5"/>
        <v>41.8</v>
      </c>
      <c r="V6" s="71">
        <v>55</v>
      </c>
      <c r="W6" s="28">
        <f t="shared" si="6"/>
        <v>0.48611111111110855</v>
      </c>
      <c r="X6" s="28">
        <v>7.9861111111111105E-2</v>
      </c>
      <c r="Y6" s="28">
        <f t="shared" si="7"/>
        <v>0.19097222222222221</v>
      </c>
      <c r="Z6" s="28">
        <f t="shared" si="8"/>
        <v>0.56597222222221966</v>
      </c>
      <c r="AA6" s="27"/>
      <c r="AB6" s="27">
        <f t="shared" si="9"/>
        <v>0</v>
      </c>
      <c r="AC6" s="27"/>
      <c r="AD6" s="66">
        <f t="shared" si="10"/>
        <v>0.56597222222221966</v>
      </c>
      <c r="AE6" s="73">
        <v>3</v>
      </c>
    </row>
    <row r="7" spans="1:32" x14ac:dyDescent="0.3">
      <c r="A7" s="21">
        <v>5</v>
      </c>
      <c r="B7" s="102" t="s">
        <v>79</v>
      </c>
      <c r="C7" s="76">
        <v>4</v>
      </c>
      <c r="D7" s="190">
        <f>'2013 Flights'!C10</f>
        <v>41526</v>
      </c>
      <c r="E7" s="76" t="str">
        <f>TEXT(D7,"ddd")</f>
        <v>Mon</v>
      </c>
      <c r="F7" s="76">
        <v>5</v>
      </c>
      <c r="G7" s="48" t="s">
        <v>83</v>
      </c>
      <c r="H7" s="27"/>
      <c r="I7" s="28">
        <f>I6</f>
        <v>0.35416666666666402</v>
      </c>
      <c r="J7" s="28">
        <v>0</v>
      </c>
      <c r="K7" s="28">
        <v>0.36805555555555558</v>
      </c>
      <c r="L7" s="34">
        <v>780</v>
      </c>
      <c r="M7" s="34">
        <v>1720</v>
      </c>
      <c r="N7" s="34">
        <f t="shared" si="2"/>
        <v>940</v>
      </c>
      <c r="O7" s="44">
        <v>26.5</v>
      </c>
      <c r="P7" s="47">
        <f>N7/(O7*1000)+0.004</f>
        <v>3.9471698113207554E-2</v>
      </c>
      <c r="Q7" s="36">
        <v>0.11600000000000001</v>
      </c>
      <c r="R7" s="28">
        <v>0.12152777777777778</v>
      </c>
      <c r="S7" s="28">
        <f t="shared" si="4"/>
        <v>0.48958333333333337</v>
      </c>
      <c r="T7" s="28">
        <v>2.0833333333333332E-2</v>
      </c>
      <c r="U7" s="42">
        <f t="shared" si="5"/>
        <v>36.5</v>
      </c>
      <c r="V7" s="71">
        <f>(O7*2)+(5*2)</f>
        <v>63</v>
      </c>
      <c r="W7" s="28">
        <f t="shared" si="6"/>
        <v>0.51041666666666674</v>
      </c>
      <c r="X7" s="28">
        <v>3.8194444444444441E-2</v>
      </c>
      <c r="Y7" s="28">
        <f t="shared" si="7"/>
        <v>0.15972222222222221</v>
      </c>
      <c r="Z7" s="28">
        <f t="shared" si="8"/>
        <v>0.54861111111111116</v>
      </c>
      <c r="AA7" s="27"/>
      <c r="AB7" s="27"/>
      <c r="AC7" s="27"/>
      <c r="AD7" s="66">
        <f t="shared" si="10"/>
        <v>0.54861111111111116</v>
      </c>
      <c r="AE7" s="73">
        <v>14</v>
      </c>
    </row>
    <row r="8" spans="1:32" x14ac:dyDescent="0.3">
      <c r="A8" s="21">
        <v>6</v>
      </c>
      <c r="B8" s="102" t="s">
        <v>79</v>
      </c>
      <c r="C8" s="76">
        <v>5</v>
      </c>
      <c r="D8" s="190">
        <f>'2013 Flights'!C11</f>
        <v>41527</v>
      </c>
      <c r="E8" s="76" t="str">
        <f>E9</f>
        <v>Wed</v>
      </c>
      <c r="F8" s="76">
        <v>6</v>
      </c>
      <c r="G8" s="48" t="s">
        <v>54</v>
      </c>
      <c r="H8" s="27"/>
      <c r="I8" s="28">
        <v>0.35416666666666302</v>
      </c>
      <c r="J8" s="28">
        <v>0</v>
      </c>
      <c r="K8" s="28">
        <f t="shared" si="1"/>
        <v>0.35416666666666302</v>
      </c>
      <c r="L8" s="34">
        <v>755</v>
      </c>
      <c r="M8" s="34">
        <v>1721</v>
      </c>
      <c r="N8" s="34">
        <f t="shared" si="2"/>
        <v>966</v>
      </c>
      <c r="O8" s="44">
        <v>13.09</v>
      </c>
      <c r="P8" s="47">
        <f t="shared" si="3"/>
        <v>7.3796791443850263E-2</v>
      </c>
      <c r="Q8" s="36">
        <v>8.2000000000000003E-2</v>
      </c>
      <c r="R8" s="28">
        <v>9.0277777777777776E-2</v>
      </c>
      <c r="S8" s="28">
        <f t="shared" si="4"/>
        <v>0.44444444444444081</v>
      </c>
      <c r="T8" s="28">
        <v>2.0833333333333402E-2</v>
      </c>
      <c r="U8" s="45">
        <f t="shared" si="5"/>
        <v>18.91</v>
      </c>
      <c r="V8" s="71">
        <v>32</v>
      </c>
      <c r="W8" s="28">
        <f t="shared" si="6"/>
        <v>0.46527777777777424</v>
      </c>
      <c r="X8" s="28">
        <v>3.4722222222222224E-2</v>
      </c>
      <c r="Y8" s="28">
        <f t="shared" si="7"/>
        <v>0.125</v>
      </c>
      <c r="Z8" s="28">
        <f t="shared" si="8"/>
        <v>0.49999999999999645</v>
      </c>
      <c r="AA8" s="27"/>
      <c r="AB8" s="27">
        <f t="shared" si="9"/>
        <v>0</v>
      </c>
      <c r="AC8" s="27"/>
      <c r="AD8" s="66">
        <f t="shared" si="10"/>
        <v>0.49999999999999645</v>
      </c>
      <c r="AE8" s="73">
        <v>14</v>
      </c>
    </row>
    <row r="9" spans="1:32" x14ac:dyDescent="0.3">
      <c r="A9" s="21">
        <v>7</v>
      </c>
      <c r="B9" s="102" t="s">
        <v>79</v>
      </c>
      <c r="C9" s="76">
        <v>6</v>
      </c>
      <c r="D9" s="190">
        <f>'2013 Flights'!C12</f>
        <v>41528</v>
      </c>
      <c r="E9" s="76" t="str">
        <f>TEXT(D9,"ddd")</f>
        <v>Wed</v>
      </c>
      <c r="F9" s="76">
        <v>7</v>
      </c>
      <c r="G9" s="48" t="s">
        <v>56</v>
      </c>
      <c r="H9" s="27">
        <v>7</v>
      </c>
      <c r="I9" s="28">
        <v>0.35416666666666669</v>
      </c>
      <c r="J9" s="28">
        <v>1.0416666666666666E-2</v>
      </c>
      <c r="K9" s="28">
        <f t="shared" si="1"/>
        <v>0.36458333333333337</v>
      </c>
      <c r="L9" s="34">
        <v>430</v>
      </c>
      <c r="M9" s="34">
        <v>1989</v>
      </c>
      <c r="N9" s="34">
        <f t="shared" si="2"/>
        <v>1559</v>
      </c>
      <c r="O9" s="44">
        <v>22.6</v>
      </c>
      <c r="P9" s="47">
        <f t="shared" si="3"/>
        <v>6.8982300884955758E-2</v>
      </c>
      <c r="Q9" s="36">
        <v>7.3999999999999996E-2</v>
      </c>
      <c r="R9" s="28">
        <v>0.1111111111111111</v>
      </c>
      <c r="S9" s="28">
        <f t="shared" si="4"/>
        <v>0.47569444444444448</v>
      </c>
      <c r="T9" s="28">
        <v>2.0833333333333332E-2</v>
      </c>
      <c r="U9" s="49">
        <f t="shared" si="5"/>
        <v>32.4</v>
      </c>
      <c r="V9" s="71">
        <v>55</v>
      </c>
      <c r="W9" s="28">
        <f t="shared" si="6"/>
        <v>0.49652777777777779</v>
      </c>
      <c r="X9" s="28">
        <v>6.5972222222222224E-2</v>
      </c>
      <c r="Y9" s="28">
        <f t="shared" si="7"/>
        <v>0.17708333333333331</v>
      </c>
      <c r="Z9" s="28">
        <f t="shared" si="8"/>
        <v>0.5625</v>
      </c>
      <c r="AA9" s="27"/>
      <c r="AB9" s="27">
        <f>H9+AA9</f>
        <v>7</v>
      </c>
      <c r="AC9" s="41"/>
      <c r="AD9" s="66">
        <f>Z9</f>
        <v>0.5625</v>
      </c>
      <c r="AE9" s="73">
        <v>6</v>
      </c>
    </row>
    <row r="10" spans="1:32" x14ac:dyDescent="0.3">
      <c r="A10" s="21">
        <v>8</v>
      </c>
      <c r="B10" s="102" t="s">
        <v>79</v>
      </c>
      <c r="C10" s="76">
        <v>7</v>
      </c>
      <c r="D10" s="190">
        <f>'2013 Flights'!C13</f>
        <v>41529</v>
      </c>
      <c r="E10" s="76" t="str">
        <f>TEXT(D10,"ddd")</f>
        <v>Thu</v>
      </c>
      <c r="F10" s="76">
        <v>8</v>
      </c>
      <c r="G10" s="189" t="s">
        <v>186</v>
      </c>
      <c r="H10" s="27"/>
      <c r="I10" s="28"/>
      <c r="J10" s="28"/>
      <c r="K10" s="28"/>
      <c r="L10" s="34"/>
      <c r="M10" s="34"/>
      <c r="N10" s="34"/>
      <c r="O10" s="44"/>
      <c r="P10" s="47"/>
      <c r="Q10" s="36"/>
      <c r="R10" s="28"/>
      <c r="S10" s="28"/>
      <c r="T10" s="28"/>
      <c r="U10" s="49"/>
      <c r="V10" s="71"/>
      <c r="W10" s="28"/>
      <c r="X10" s="28"/>
      <c r="Y10" s="28"/>
      <c r="Z10" s="28"/>
      <c r="AA10" s="27"/>
      <c r="AB10" s="27"/>
      <c r="AC10" s="41"/>
      <c r="AD10" s="66"/>
      <c r="AE10" s="73"/>
    </row>
    <row r="11" spans="1:32" x14ac:dyDescent="0.3">
      <c r="A11" s="90">
        <v>9</v>
      </c>
      <c r="B11" s="102" t="s">
        <v>79</v>
      </c>
      <c r="C11" s="188">
        <v>8</v>
      </c>
      <c r="D11" s="190">
        <f>'2013 Flights'!C14</f>
        <v>41530</v>
      </c>
      <c r="E11" s="76" t="str">
        <f t="shared" si="0"/>
        <v>Fri</v>
      </c>
      <c r="F11" s="76">
        <v>9</v>
      </c>
      <c r="G11" s="189" t="str">
        <f>G10</f>
        <v>Yet to be entered but lots of climb options</v>
      </c>
      <c r="H11" s="27"/>
      <c r="I11" s="28"/>
      <c r="J11" s="28"/>
      <c r="K11" s="28"/>
      <c r="L11" s="34"/>
      <c r="M11" s="34"/>
      <c r="N11" s="34"/>
      <c r="O11" s="44"/>
      <c r="P11" s="47"/>
      <c r="Q11" s="36"/>
      <c r="R11" s="28"/>
      <c r="S11" s="28"/>
      <c r="T11" s="28"/>
      <c r="U11" s="49"/>
      <c r="V11" s="71"/>
      <c r="W11" s="28"/>
      <c r="X11" s="28"/>
      <c r="Y11" s="28"/>
      <c r="Z11" s="28"/>
      <c r="AA11" s="27"/>
      <c r="AB11" s="27"/>
      <c r="AC11" s="41"/>
      <c r="AD11" s="66"/>
      <c r="AE11" s="73"/>
    </row>
    <row r="12" spans="1:32" ht="14.25" customHeight="1" x14ac:dyDescent="0.3">
      <c r="A12" s="21">
        <v>10</v>
      </c>
      <c r="B12" s="103" t="s">
        <v>80</v>
      </c>
      <c r="C12" s="76">
        <v>9</v>
      </c>
      <c r="D12" s="190">
        <f>'2013 Flights'!C15</f>
        <v>41531</v>
      </c>
      <c r="E12" s="76" t="str">
        <f t="shared" ref="E12:E20" si="11">TEXT(D12,"ddd")</f>
        <v>Sat</v>
      </c>
      <c r="F12" s="76">
        <v>1</v>
      </c>
      <c r="G12" s="48" t="s">
        <v>10</v>
      </c>
      <c r="H12" s="27"/>
      <c r="I12" s="28">
        <v>0.5625</v>
      </c>
      <c r="J12" s="28">
        <v>0</v>
      </c>
      <c r="K12" s="28">
        <f t="shared" ref="K12:K17" si="12">I12+J12</f>
        <v>0.5625</v>
      </c>
      <c r="L12" s="34">
        <v>560</v>
      </c>
      <c r="M12" s="34">
        <v>1705</v>
      </c>
      <c r="N12" s="34">
        <f t="shared" ref="N12:N17" si="13">M12-L12</f>
        <v>1145</v>
      </c>
      <c r="O12" s="44">
        <v>17.5</v>
      </c>
      <c r="P12" s="29">
        <f t="shared" ref="P12:P17" si="14">N12/(O12*1000)</f>
        <v>6.5428571428571433E-2</v>
      </c>
      <c r="Q12" s="36">
        <v>8.2000000000000003E-2</v>
      </c>
      <c r="R12" s="28">
        <v>9.0277777777777776E-2</v>
      </c>
      <c r="S12" s="28">
        <f t="shared" ref="S12:S17" si="15">K12+R12</f>
        <v>0.65277777777777779</v>
      </c>
      <c r="T12" s="28">
        <v>2.0833333333333332E-2</v>
      </c>
      <c r="U12" s="45">
        <f>V12-O12</f>
        <v>19.100000000000001</v>
      </c>
      <c r="V12" s="71">
        <v>36.6</v>
      </c>
      <c r="W12" s="28">
        <f t="shared" ref="W12:W17" si="16">S12+T12</f>
        <v>0.67361111111111116</v>
      </c>
      <c r="X12" s="28">
        <v>2.7777777777777776E-2</v>
      </c>
      <c r="Y12" s="28">
        <f t="shared" ref="Y12:Y17" si="17">R12+X12</f>
        <v>0.11805555555555555</v>
      </c>
      <c r="Z12" s="28">
        <f t="shared" ref="Z12:Z17" si="18">W12+X12</f>
        <v>0.70138888888888895</v>
      </c>
      <c r="AA12" s="27"/>
      <c r="AB12" s="27">
        <f t="shared" ref="AB12:AB17" si="19">H12+AA12</f>
        <v>0</v>
      </c>
      <c r="AC12" s="27"/>
      <c r="AD12" s="66">
        <f t="shared" ref="AD12:AD17" si="20">Z12+AC12</f>
        <v>0.70138888888888895</v>
      </c>
      <c r="AE12" s="73">
        <v>10</v>
      </c>
      <c r="AF12" s="51"/>
    </row>
    <row r="13" spans="1:32" x14ac:dyDescent="0.3">
      <c r="A13" s="21">
        <v>11</v>
      </c>
      <c r="B13" s="103" t="s">
        <v>80</v>
      </c>
      <c r="C13" s="76">
        <v>10</v>
      </c>
      <c r="D13" s="190">
        <f t="shared" ref="D13:D20" si="21">D12+1</f>
        <v>41532</v>
      </c>
      <c r="E13" s="76" t="str">
        <f t="shared" si="11"/>
        <v>Sun</v>
      </c>
      <c r="F13" s="76">
        <v>2</v>
      </c>
      <c r="G13" s="48" t="s">
        <v>48</v>
      </c>
      <c r="H13" s="27"/>
      <c r="I13" s="28">
        <v>0.35416666666666669</v>
      </c>
      <c r="J13" s="28">
        <v>0</v>
      </c>
      <c r="K13" s="28">
        <f t="shared" si="12"/>
        <v>0.35416666666666669</v>
      </c>
      <c r="L13" s="34">
        <v>543</v>
      </c>
      <c r="M13" s="34">
        <v>1639</v>
      </c>
      <c r="N13" s="34">
        <f t="shared" si="13"/>
        <v>1096</v>
      </c>
      <c r="O13" s="44">
        <v>16.93</v>
      </c>
      <c r="P13" s="29">
        <f t="shared" si="14"/>
        <v>6.4737152982870638E-2</v>
      </c>
      <c r="Q13" s="36">
        <v>8.1000000000000003E-2</v>
      </c>
      <c r="R13" s="28">
        <v>8.3333333333333329E-2</v>
      </c>
      <c r="S13" s="28">
        <f t="shared" si="15"/>
        <v>0.4375</v>
      </c>
      <c r="T13" s="28">
        <v>2.0833333333333332E-2</v>
      </c>
      <c r="U13" s="45">
        <f>V13-O13</f>
        <v>21.700000000000003</v>
      </c>
      <c r="V13" s="71">
        <v>38.630000000000003</v>
      </c>
      <c r="W13" s="28">
        <f t="shared" si="16"/>
        <v>0.45833333333333331</v>
      </c>
      <c r="X13" s="28">
        <v>3.8194444444444441E-2</v>
      </c>
      <c r="Y13" s="28">
        <f t="shared" si="17"/>
        <v>0.12152777777777776</v>
      </c>
      <c r="Z13" s="28">
        <f t="shared" si="18"/>
        <v>0.49652777777777773</v>
      </c>
      <c r="AA13" s="27"/>
      <c r="AB13" s="27">
        <f t="shared" si="19"/>
        <v>0</v>
      </c>
      <c r="AC13" s="27"/>
      <c r="AD13" s="66">
        <f t="shared" si="20"/>
        <v>0.49652777777777773</v>
      </c>
      <c r="AE13" s="73">
        <v>11</v>
      </c>
    </row>
    <row r="14" spans="1:32" x14ac:dyDescent="0.3">
      <c r="A14" s="21">
        <v>12</v>
      </c>
      <c r="B14" s="103" t="s">
        <v>80</v>
      </c>
      <c r="C14" s="188">
        <v>11</v>
      </c>
      <c r="D14" s="190">
        <f t="shared" si="21"/>
        <v>41533</v>
      </c>
      <c r="E14" s="76" t="str">
        <f t="shared" si="11"/>
        <v>Mon</v>
      </c>
      <c r="F14" s="76">
        <v>3</v>
      </c>
      <c r="G14" s="48" t="s">
        <v>187</v>
      </c>
      <c r="H14" s="41">
        <v>14.1</v>
      </c>
      <c r="I14" s="28">
        <v>0.35416666666666702</v>
      </c>
      <c r="J14" s="28">
        <v>1.7361111111111112E-2</v>
      </c>
      <c r="K14" s="28">
        <f t="shared" si="12"/>
        <v>0.37152777777777812</v>
      </c>
      <c r="L14" s="34">
        <v>712</v>
      </c>
      <c r="M14" s="34">
        <v>2642</v>
      </c>
      <c r="N14" s="34">
        <f t="shared" si="13"/>
        <v>1930</v>
      </c>
      <c r="O14" s="44">
        <v>34.799999999999997</v>
      </c>
      <c r="P14" s="29">
        <f t="shared" si="14"/>
        <v>5.5459770114942526E-2</v>
      </c>
      <c r="Q14" s="36">
        <v>0.1</v>
      </c>
      <c r="R14" s="28">
        <v>0.16666666666666666</v>
      </c>
      <c r="S14" s="28">
        <f t="shared" si="15"/>
        <v>0.53819444444444475</v>
      </c>
      <c r="T14" s="28">
        <v>4.1666666666666664E-2</v>
      </c>
      <c r="U14" s="45">
        <f>O14</f>
        <v>34.799999999999997</v>
      </c>
      <c r="V14" s="71">
        <f>O14+U14</f>
        <v>69.599999999999994</v>
      </c>
      <c r="W14" s="28">
        <f t="shared" si="16"/>
        <v>0.57986111111111138</v>
      </c>
      <c r="X14" s="28">
        <v>7.2916666666666699E-2</v>
      </c>
      <c r="Y14" s="28">
        <f t="shared" si="17"/>
        <v>0.23958333333333337</v>
      </c>
      <c r="Z14" s="28">
        <f t="shared" si="18"/>
        <v>0.65277777777777812</v>
      </c>
      <c r="AA14" s="27">
        <f>H14</f>
        <v>14.1</v>
      </c>
      <c r="AB14" s="27">
        <f t="shared" si="19"/>
        <v>28.2</v>
      </c>
      <c r="AC14" s="46">
        <f>J14</f>
        <v>1.7361111111111112E-2</v>
      </c>
      <c r="AD14" s="66">
        <f t="shared" si="20"/>
        <v>0.67013888888888928</v>
      </c>
      <c r="AE14" s="73">
        <v>1</v>
      </c>
    </row>
    <row r="15" spans="1:32" x14ac:dyDescent="0.3">
      <c r="A15" s="21">
        <v>13</v>
      </c>
      <c r="B15" s="103" t="s">
        <v>80</v>
      </c>
      <c r="C15" s="76">
        <v>12</v>
      </c>
      <c r="D15" s="190">
        <f t="shared" si="21"/>
        <v>41534</v>
      </c>
      <c r="E15" s="76" t="str">
        <f t="shared" si="11"/>
        <v>Tue</v>
      </c>
      <c r="F15" s="76">
        <v>4</v>
      </c>
      <c r="G15" s="48" t="s">
        <v>51</v>
      </c>
      <c r="H15" s="27">
        <v>29</v>
      </c>
      <c r="I15" s="28">
        <v>0.35416666666666702</v>
      </c>
      <c r="J15" s="28">
        <v>3.8194444444444441E-2</v>
      </c>
      <c r="K15" s="28">
        <f t="shared" si="12"/>
        <v>0.39236111111111144</v>
      </c>
      <c r="L15" s="34">
        <v>494</v>
      </c>
      <c r="M15" s="34">
        <v>2067</v>
      </c>
      <c r="N15" s="34">
        <f t="shared" si="13"/>
        <v>1573</v>
      </c>
      <c r="O15" s="44">
        <v>21</v>
      </c>
      <c r="P15" s="29">
        <f t="shared" si="14"/>
        <v>7.4904761904761905E-2</v>
      </c>
      <c r="Q15" s="36">
        <v>8.5000000000000006E-2</v>
      </c>
      <c r="R15" s="28">
        <v>0.11805555555555557</v>
      </c>
      <c r="S15" s="28">
        <f t="shared" si="15"/>
        <v>0.51041666666666696</v>
      </c>
      <c r="T15" s="28">
        <v>2.0833333333333332E-2</v>
      </c>
      <c r="U15" s="49">
        <f>V15-O15</f>
        <v>36.799999999999997</v>
      </c>
      <c r="V15" s="71">
        <v>57.8</v>
      </c>
      <c r="W15" s="28">
        <f t="shared" si="16"/>
        <v>0.53125000000000033</v>
      </c>
      <c r="X15" s="28">
        <v>6.25E-2</v>
      </c>
      <c r="Y15" s="28">
        <f t="shared" si="17"/>
        <v>0.18055555555555558</v>
      </c>
      <c r="Z15" s="28">
        <f t="shared" si="18"/>
        <v>0.59375000000000033</v>
      </c>
      <c r="AA15" s="27"/>
      <c r="AB15" s="27">
        <f t="shared" si="19"/>
        <v>29</v>
      </c>
      <c r="AC15" s="27"/>
      <c r="AD15" s="66">
        <f t="shared" si="20"/>
        <v>0.59375000000000033</v>
      </c>
      <c r="AE15" s="73">
        <v>8</v>
      </c>
    </row>
    <row r="16" spans="1:32" x14ac:dyDescent="0.3">
      <c r="A16" s="90">
        <v>14</v>
      </c>
      <c r="B16" s="103" t="s">
        <v>80</v>
      </c>
      <c r="C16" s="76">
        <v>13</v>
      </c>
      <c r="D16" s="190">
        <f t="shared" si="21"/>
        <v>41535</v>
      </c>
      <c r="E16" s="76" t="str">
        <f t="shared" si="11"/>
        <v>Wed</v>
      </c>
      <c r="F16" s="76">
        <v>5</v>
      </c>
      <c r="G16" s="48" t="s">
        <v>3</v>
      </c>
      <c r="H16" s="27">
        <v>11.5</v>
      </c>
      <c r="I16" s="28">
        <v>0.35416666666666669</v>
      </c>
      <c r="J16" s="28">
        <v>2.0833333333333332E-2</v>
      </c>
      <c r="K16" s="28">
        <f t="shared" si="12"/>
        <v>0.375</v>
      </c>
      <c r="L16" s="34">
        <v>471</v>
      </c>
      <c r="M16" s="34">
        <v>1993</v>
      </c>
      <c r="N16" s="34">
        <f t="shared" si="13"/>
        <v>1522</v>
      </c>
      <c r="O16" s="44">
        <v>19.05</v>
      </c>
      <c r="P16" s="29">
        <f t="shared" si="14"/>
        <v>7.9895013123359573E-2</v>
      </c>
      <c r="Q16" s="36">
        <v>9.0999999999999998E-2</v>
      </c>
      <c r="R16" s="28">
        <v>0.10416666666666667</v>
      </c>
      <c r="S16" s="28">
        <f t="shared" si="15"/>
        <v>0.47916666666666669</v>
      </c>
      <c r="T16" s="28">
        <v>2.0833333333333332E-2</v>
      </c>
      <c r="U16" s="49">
        <f>V16-O16</f>
        <v>19.05</v>
      </c>
      <c r="V16" s="71">
        <v>38.1</v>
      </c>
      <c r="W16" s="28">
        <f t="shared" si="16"/>
        <v>0.5</v>
      </c>
      <c r="X16" s="28">
        <v>3.8194444444444441E-2</v>
      </c>
      <c r="Y16" s="28">
        <f t="shared" si="17"/>
        <v>0.1423611111111111</v>
      </c>
      <c r="Z16" s="28">
        <f t="shared" si="18"/>
        <v>0.53819444444444442</v>
      </c>
      <c r="AA16" s="27">
        <v>11.5</v>
      </c>
      <c r="AB16" s="27">
        <f t="shared" si="19"/>
        <v>23</v>
      </c>
      <c r="AC16" s="40">
        <f>J16</f>
        <v>2.0833333333333332E-2</v>
      </c>
      <c r="AD16" s="66">
        <f t="shared" si="20"/>
        <v>0.55902777777777779</v>
      </c>
      <c r="AE16" s="73">
        <v>9</v>
      </c>
    </row>
    <row r="17" spans="1:31" x14ac:dyDescent="0.3">
      <c r="A17" s="21">
        <v>15</v>
      </c>
      <c r="B17" s="103" t="s">
        <v>80</v>
      </c>
      <c r="C17" s="188">
        <v>14</v>
      </c>
      <c r="D17" s="190">
        <f t="shared" si="21"/>
        <v>41536</v>
      </c>
      <c r="E17" s="76" t="str">
        <f t="shared" si="11"/>
        <v>Thu</v>
      </c>
      <c r="F17" s="76">
        <v>6</v>
      </c>
      <c r="G17" s="48" t="s">
        <v>57</v>
      </c>
      <c r="H17" s="27"/>
      <c r="I17" s="28">
        <v>0.35416666666666702</v>
      </c>
      <c r="J17" s="28">
        <f>J13</f>
        <v>0</v>
      </c>
      <c r="K17" s="28">
        <f t="shared" si="12"/>
        <v>0.35416666666666702</v>
      </c>
      <c r="L17" s="34">
        <v>567</v>
      </c>
      <c r="M17" s="34">
        <v>1617</v>
      </c>
      <c r="N17" s="34">
        <f t="shared" si="13"/>
        <v>1050</v>
      </c>
      <c r="O17" s="44">
        <v>17.2</v>
      </c>
      <c r="P17" s="29">
        <f t="shared" si="14"/>
        <v>6.1046511627906974E-2</v>
      </c>
      <c r="Q17" s="36">
        <v>7.1999999999999995E-2</v>
      </c>
      <c r="R17" s="28">
        <v>7.6388888888888895E-2</v>
      </c>
      <c r="S17" s="28">
        <f t="shared" si="15"/>
        <v>0.43055555555555591</v>
      </c>
      <c r="T17" s="28">
        <v>2.0833333333333301E-2</v>
      </c>
      <c r="U17" s="49">
        <f>V17-O17</f>
        <v>17.2</v>
      </c>
      <c r="V17" s="71">
        <f>O17*2</f>
        <v>34.4</v>
      </c>
      <c r="W17" s="28">
        <f t="shared" si="16"/>
        <v>0.45138888888888923</v>
      </c>
      <c r="X17" s="28">
        <v>2.4305555555555556E-2</v>
      </c>
      <c r="Y17" s="28">
        <f t="shared" si="17"/>
        <v>0.10069444444444445</v>
      </c>
      <c r="Z17" s="28">
        <f t="shared" si="18"/>
        <v>0.47569444444444481</v>
      </c>
      <c r="AA17" s="27"/>
      <c r="AB17" s="27">
        <f t="shared" si="19"/>
        <v>0</v>
      </c>
      <c r="AC17" s="27"/>
      <c r="AD17" s="66">
        <f t="shared" si="20"/>
        <v>0.47569444444444481</v>
      </c>
      <c r="AE17" s="73">
        <v>13</v>
      </c>
    </row>
    <row r="18" spans="1:31" x14ac:dyDescent="0.3">
      <c r="A18" s="21">
        <v>16</v>
      </c>
      <c r="B18" s="103" t="s">
        <v>80</v>
      </c>
      <c r="C18" s="76">
        <v>15</v>
      </c>
      <c r="D18" s="190">
        <f t="shared" si="21"/>
        <v>41537</v>
      </c>
      <c r="E18" s="76" t="str">
        <f t="shared" si="11"/>
        <v>Fri</v>
      </c>
      <c r="F18" s="76">
        <v>7</v>
      </c>
      <c r="G18" s="189" t="str">
        <f>G10</f>
        <v>Yet to be entered but lots of climb options</v>
      </c>
      <c r="H18" s="27"/>
      <c r="I18" s="192"/>
      <c r="J18" s="192"/>
      <c r="K18" s="192"/>
      <c r="L18" s="34"/>
      <c r="M18" s="34"/>
      <c r="N18" s="34"/>
      <c r="O18" s="44"/>
      <c r="P18" s="47"/>
      <c r="Q18" s="36"/>
      <c r="R18" s="28"/>
      <c r="S18" s="28"/>
      <c r="T18" s="28"/>
      <c r="U18" s="49"/>
      <c r="V18" s="71"/>
      <c r="W18" s="28"/>
      <c r="X18" s="28"/>
      <c r="Y18" s="28"/>
      <c r="Z18" s="28"/>
      <c r="AA18" s="27"/>
      <c r="AB18" s="27"/>
      <c r="AC18" s="41"/>
      <c r="AD18" s="66"/>
      <c r="AE18" s="73"/>
    </row>
    <row r="19" spans="1:31" x14ac:dyDescent="0.3">
      <c r="A19" s="21">
        <v>17</v>
      </c>
      <c r="B19" s="103" t="s">
        <v>80</v>
      </c>
      <c r="C19" s="188">
        <v>16</v>
      </c>
      <c r="D19" s="190">
        <f t="shared" si="21"/>
        <v>41538</v>
      </c>
      <c r="E19" s="76" t="str">
        <f t="shared" si="11"/>
        <v>Sat</v>
      </c>
      <c r="F19" s="76">
        <v>8</v>
      </c>
      <c r="G19" s="189" t="str">
        <f>G11</f>
        <v>Yet to be entered but lots of climb options</v>
      </c>
      <c r="H19" s="27"/>
      <c r="I19" s="192"/>
      <c r="J19" s="192"/>
      <c r="K19" s="192"/>
      <c r="L19" s="34"/>
      <c r="M19" s="34"/>
      <c r="N19" s="34"/>
      <c r="O19" s="44"/>
      <c r="P19" s="47"/>
      <c r="Q19" s="36"/>
      <c r="R19" s="28"/>
      <c r="S19" s="28"/>
      <c r="T19" s="28"/>
      <c r="U19" s="49"/>
      <c r="V19" s="71"/>
      <c r="W19" s="28"/>
      <c r="X19" s="28"/>
      <c r="Y19" s="28"/>
      <c r="Z19" s="28"/>
      <c r="AA19" s="27"/>
      <c r="AB19" s="27"/>
      <c r="AC19" s="41"/>
      <c r="AD19" s="66"/>
      <c r="AE19" s="73"/>
    </row>
    <row r="20" spans="1:31" x14ac:dyDescent="0.3">
      <c r="D20" s="190">
        <f t="shared" si="21"/>
        <v>41539</v>
      </c>
      <c r="E20" s="76" t="str">
        <f t="shared" si="11"/>
        <v>Sun</v>
      </c>
      <c r="F20" s="76" t="s">
        <v>46</v>
      </c>
      <c r="G20" s="191" t="s">
        <v>201</v>
      </c>
      <c r="H20" s="91"/>
      <c r="I20" s="92"/>
      <c r="J20" s="92"/>
      <c r="K20" s="92"/>
      <c r="L20" s="93"/>
      <c r="M20" s="93"/>
      <c r="N20" s="93"/>
      <c r="O20" s="94"/>
      <c r="P20" s="93"/>
      <c r="Q20" s="93"/>
      <c r="R20" s="92"/>
      <c r="S20" s="95"/>
      <c r="T20" s="95"/>
      <c r="U20" s="94"/>
      <c r="V20" s="94"/>
      <c r="W20" s="95"/>
      <c r="X20" s="95"/>
      <c r="Y20" s="95"/>
      <c r="Z20" s="95"/>
      <c r="AA20" s="91"/>
      <c r="AB20" s="91"/>
      <c r="AC20" s="96"/>
      <c r="AD20" s="95"/>
      <c r="AE20" s="53"/>
    </row>
    <row r="21" spans="1:31" x14ac:dyDescent="0.3">
      <c r="H21" s="35">
        <f>SUM(H3:H19)</f>
        <v>91.1</v>
      </c>
      <c r="N21" s="75">
        <f>SUM(N3:N19)</f>
        <v>15143</v>
      </c>
      <c r="O21" s="43">
        <f>SUM(O3:O19)</f>
        <v>239.17000000000002</v>
      </c>
      <c r="R21" s="99">
        <f>SUM(R3:R19)</f>
        <v>1.2534722222222221</v>
      </c>
      <c r="V21" s="70">
        <f>SUM(V3:V19)</f>
        <v>561.73</v>
      </c>
      <c r="Y21" s="74">
        <f>SUM(Y3:Y19)</f>
        <v>1.8159722222222223</v>
      </c>
    </row>
  </sheetData>
  <hyperlinks>
    <hyperlink ref="G5" r:id="rId1"/>
    <hyperlink ref="G8" r:id="rId2" display="Mont\2ndBC-LeBourg_d'Oisan\Villard Reymond\villard_reymond.htm"/>
    <hyperlink ref="G12" r:id="rId3"/>
    <hyperlink ref="G9" r:id="rId4" display="Col de Sarenne descending Alpe d'Huez"/>
    <hyperlink ref="G4" r:id="rId5"/>
    <hyperlink ref="G6" r:id="rId6" display="Bourg d'Oisans to Alpe d'Huez return down Col de Sarenne"/>
    <hyperlink ref="G13" r:id="rId7"/>
    <hyperlink ref="G14" r:id="rId8" display="Col du Telegraphe &amp; Col du Galibier retrace to St-M-de-M."/>
    <hyperlink ref="G15" r:id="rId9"/>
    <hyperlink ref="G16" r:id="rId10"/>
    <hyperlink ref="G17" r:id="rId11" display=" Les Karellis -up 'n back down"/>
    <hyperlink ref="B4" r:id="rId12"/>
    <hyperlink ref="B5" r:id="rId13"/>
    <hyperlink ref="B10" r:id="rId14"/>
    <hyperlink ref="G7" r:id="rId15"/>
    <hyperlink ref="B11" r:id="rId16"/>
    <hyperlink ref="B3" r:id="rId17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1" orientation="landscape" horizontalDpi="0" verticalDpi="0" r:id="rId18"/>
  <legacy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workbookViewId="0">
      <selection activeCell="F31" sqref="F31"/>
    </sheetView>
  </sheetViews>
  <sheetFormatPr defaultRowHeight="16.5" x14ac:dyDescent="0.3"/>
  <cols>
    <col min="1" max="1" width="3.42578125" style="21" customWidth="1"/>
    <col min="2" max="2" width="3.28515625" customWidth="1"/>
    <col min="3" max="3" width="10.140625" customWidth="1"/>
    <col min="4" max="4" width="5.85546875" customWidth="1"/>
    <col min="5" max="5" width="5.7109375" customWidth="1"/>
    <col min="6" max="6" width="53.140625" customWidth="1"/>
    <col min="7" max="7" width="5.28515625" customWidth="1"/>
    <col min="8" max="8" width="6" style="1" customWidth="1"/>
    <col min="9" max="9" width="5.42578125" style="1" customWidth="1"/>
    <col min="10" max="10" width="6" style="1" customWidth="1"/>
    <col min="11" max="11" width="6.42578125" customWidth="1"/>
    <col min="12" max="12" width="7.5703125" customWidth="1"/>
    <col min="13" max="13" width="7.85546875" customWidth="1"/>
    <col min="14" max="14" width="7.7109375" customWidth="1"/>
    <col min="15" max="16" width="7.85546875" customWidth="1"/>
    <col min="17" max="17" width="7.85546875" style="1" customWidth="1"/>
    <col min="18" max="18" width="6.140625" customWidth="1"/>
    <col min="19" max="19" width="5" customWidth="1"/>
    <col min="20" max="20" width="7.7109375" customWidth="1"/>
    <col min="21" max="21" width="7.5703125" style="67" customWidth="1"/>
    <col min="22" max="22" width="6.7109375" customWidth="1"/>
    <col min="23" max="23" width="7.5703125" customWidth="1"/>
    <col min="24" max="24" width="7.85546875" customWidth="1"/>
    <col min="25" max="25" width="6.42578125" customWidth="1"/>
    <col min="26" max="26" width="5.85546875" customWidth="1"/>
    <col min="27" max="27" width="4.85546875" customWidth="1"/>
    <col min="28" max="29" width="5.28515625" customWidth="1"/>
    <col min="30" max="30" width="6" customWidth="1"/>
  </cols>
  <sheetData>
    <row r="1" spans="1:31" ht="18.75" x14ac:dyDescent="0.3">
      <c r="I1" s="65" t="s">
        <v>46</v>
      </c>
      <c r="K1" s="52" t="s">
        <v>168</v>
      </c>
    </row>
    <row r="2" spans="1:31" ht="65.25" customHeight="1" x14ac:dyDescent="0.3">
      <c r="A2" s="21" t="s">
        <v>55</v>
      </c>
      <c r="B2" s="97" t="s">
        <v>1</v>
      </c>
      <c r="C2" s="32" t="s">
        <v>2</v>
      </c>
      <c r="D2" s="31" t="s">
        <v>1</v>
      </c>
      <c r="E2" s="33" t="s">
        <v>85</v>
      </c>
      <c r="F2" s="33"/>
      <c r="G2" s="54" t="s">
        <v>11</v>
      </c>
      <c r="H2" s="61" t="s">
        <v>6</v>
      </c>
      <c r="I2" s="61" t="s">
        <v>45</v>
      </c>
      <c r="J2" s="61" t="s">
        <v>50</v>
      </c>
      <c r="K2" s="62" t="s">
        <v>4</v>
      </c>
      <c r="L2" s="62" t="s">
        <v>5</v>
      </c>
      <c r="M2" s="62" t="s">
        <v>8</v>
      </c>
      <c r="N2" s="63" t="s">
        <v>7</v>
      </c>
      <c r="O2" s="62" t="s">
        <v>61</v>
      </c>
      <c r="P2" s="62" t="s">
        <v>62</v>
      </c>
      <c r="Q2" s="61" t="s">
        <v>60</v>
      </c>
      <c r="R2" s="60" t="s">
        <v>35</v>
      </c>
      <c r="S2" s="60" t="s">
        <v>12</v>
      </c>
      <c r="T2" s="63" t="s">
        <v>36</v>
      </c>
      <c r="U2" s="63" t="s">
        <v>41</v>
      </c>
      <c r="V2" s="60" t="s">
        <v>9</v>
      </c>
      <c r="W2" s="60" t="s">
        <v>37</v>
      </c>
      <c r="X2" s="60" t="s">
        <v>59</v>
      </c>
      <c r="Y2" s="60" t="s">
        <v>63</v>
      </c>
      <c r="Z2" s="54" t="s">
        <v>42</v>
      </c>
      <c r="AA2" s="54" t="s">
        <v>43</v>
      </c>
      <c r="AB2" s="64" t="s">
        <v>47</v>
      </c>
      <c r="AC2" s="60" t="s">
        <v>44</v>
      </c>
      <c r="AD2" s="53" t="s">
        <v>84</v>
      </c>
      <c r="AE2" s="51"/>
    </row>
    <row r="3" spans="1:31" ht="14.25" customHeight="1" x14ac:dyDescent="0.3">
      <c r="A3" s="102" t="s">
        <v>79</v>
      </c>
      <c r="B3" s="90">
        <f>B4</f>
        <v>1</v>
      </c>
      <c r="C3" s="98">
        <f>C4</f>
        <v>41157</v>
      </c>
      <c r="D3" s="76" t="str">
        <f>TEXT(C3,"ddd")</f>
        <v>Wed</v>
      </c>
      <c r="E3" s="76"/>
      <c r="F3" s="89" t="s">
        <v>106</v>
      </c>
      <c r="G3" s="91"/>
      <c r="H3" s="92"/>
      <c r="I3" s="92"/>
      <c r="J3" s="92"/>
      <c r="K3" s="93"/>
      <c r="L3" s="93"/>
      <c r="M3" s="93"/>
      <c r="N3" s="94"/>
      <c r="O3" s="93"/>
      <c r="P3" s="93"/>
      <c r="Q3" s="92"/>
      <c r="R3" s="95"/>
      <c r="S3" s="95"/>
      <c r="T3" s="94"/>
      <c r="U3" s="94"/>
      <c r="V3" s="95"/>
      <c r="W3" s="95"/>
      <c r="X3" s="95"/>
      <c r="Y3" s="95"/>
      <c r="Z3" s="91"/>
      <c r="AA3" s="91"/>
      <c r="AB3" s="96"/>
      <c r="AC3" s="95"/>
      <c r="AD3" s="53"/>
      <c r="AE3" s="51"/>
    </row>
    <row r="4" spans="1:31" x14ac:dyDescent="0.3">
      <c r="A4" s="102" t="s">
        <v>79</v>
      </c>
      <c r="B4" s="21">
        <v>1</v>
      </c>
      <c r="C4" s="22">
        <v>41157</v>
      </c>
      <c r="D4" s="76" t="str">
        <f>TEXT(C4,"ddd")</f>
        <v>Wed</v>
      </c>
      <c r="E4" s="76">
        <f>B4</f>
        <v>1</v>
      </c>
      <c r="F4" s="48" t="s">
        <v>10</v>
      </c>
      <c r="G4" s="27"/>
      <c r="H4" s="28">
        <v>0.5625</v>
      </c>
      <c r="I4" s="28">
        <v>0</v>
      </c>
      <c r="J4" s="28">
        <f t="shared" ref="J4:J20" si="0">H4+I4</f>
        <v>0.5625</v>
      </c>
      <c r="K4" s="34">
        <v>560</v>
      </c>
      <c r="L4" s="34">
        <v>1705</v>
      </c>
      <c r="M4" s="34">
        <f t="shared" ref="M4:M18" si="1">L4-K4</f>
        <v>1145</v>
      </c>
      <c r="N4" s="44">
        <v>17.5</v>
      </c>
      <c r="O4" s="29">
        <f t="shared" ref="O4:O20" si="2">M4/(N4*1000)</f>
        <v>6.5428571428571433E-2</v>
      </c>
      <c r="P4" s="36">
        <v>8.2000000000000003E-2</v>
      </c>
      <c r="Q4" s="28">
        <v>9.0277777777777776E-2</v>
      </c>
      <c r="R4" s="28">
        <f t="shared" ref="R4:R18" si="3">J4+Q4</f>
        <v>0.65277777777777779</v>
      </c>
      <c r="S4" s="28">
        <v>2.0833333333333332E-2</v>
      </c>
      <c r="T4" s="45">
        <f>U4-N4</f>
        <v>19.100000000000001</v>
      </c>
      <c r="U4" s="71">
        <v>36.6</v>
      </c>
      <c r="V4" s="28">
        <f t="shared" ref="V4:V15" si="4">R4+S4</f>
        <v>0.67361111111111116</v>
      </c>
      <c r="W4" s="28">
        <v>2.7777777777777776E-2</v>
      </c>
      <c r="X4" s="28">
        <f>Q4+W4</f>
        <v>0.11805555555555555</v>
      </c>
      <c r="Y4" s="28">
        <f t="shared" ref="Y4:Y9" si="5">V4+W4</f>
        <v>0.70138888888888895</v>
      </c>
      <c r="Z4" s="27"/>
      <c r="AA4" s="27">
        <f>G4+Z4</f>
        <v>0</v>
      </c>
      <c r="AB4" s="27"/>
      <c r="AC4" s="66">
        <f t="shared" ref="AC4:AC15" si="6">Y4+AB4</f>
        <v>0.70138888888888895</v>
      </c>
      <c r="AD4" s="73">
        <v>10</v>
      </c>
    </row>
    <row r="5" spans="1:31" x14ac:dyDescent="0.3">
      <c r="A5" s="102" t="s">
        <v>79</v>
      </c>
      <c r="B5" s="21">
        <v>2</v>
      </c>
      <c r="C5" s="22">
        <v>41158</v>
      </c>
      <c r="D5" s="76" t="str">
        <f t="shared" ref="D5:D11" si="7">TEXT(C5,"ddd")</f>
        <v>Thu</v>
      </c>
      <c r="E5" s="76">
        <f t="shared" ref="E5:E8" si="8">B5</f>
        <v>2</v>
      </c>
      <c r="F5" s="48" t="s">
        <v>48</v>
      </c>
      <c r="G5" s="27"/>
      <c r="H5" s="28">
        <v>0.35416666666666669</v>
      </c>
      <c r="I5" s="28">
        <v>0</v>
      </c>
      <c r="J5" s="28">
        <f t="shared" si="0"/>
        <v>0.35416666666666669</v>
      </c>
      <c r="K5" s="34">
        <v>543</v>
      </c>
      <c r="L5" s="34">
        <v>1639</v>
      </c>
      <c r="M5" s="34">
        <f t="shared" si="1"/>
        <v>1096</v>
      </c>
      <c r="N5" s="44">
        <v>16.93</v>
      </c>
      <c r="O5" s="29">
        <f t="shared" si="2"/>
        <v>6.4737152982870638E-2</v>
      </c>
      <c r="P5" s="36">
        <v>8.1000000000000003E-2</v>
      </c>
      <c r="Q5" s="28">
        <v>8.3333333333333329E-2</v>
      </c>
      <c r="R5" s="28">
        <f t="shared" si="3"/>
        <v>0.4375</v>
      </c>
      <c r="S5" s="28">
        <v>2.0833333333333332E-2</v>
      </c>
      <c r="T5" s="45">
        <f t="shared" ref="T5:T16" si="9">U5-N5</f>
        <v>21.700000000000003</v>
      </c>
      <c r="U5" s="71">
        <v>38.630000000000003</v>
      </c>
      <c r="V5" s="28">
        <f t="shared" si="4"/>
        <v>0.45833333333333331</v>
      </c>
      <c r="W5" s="28">
        <v>3.8194444444444441E-2</v>
      </c>
      <c r="X5" s="28">
        <f t="shared" ref="X5:X20" si="10">Q5+W5</f>
        <v>0.12152777777777776</v>
      </c>
      <c r="Y5" s="28">
        <f t="shared" si="5"/>
        <v>0.49652777777777773</v>
      </c>
      <c r="Z5" s="27"/>
      <c r="AA5" s="27">
        <f t="shared" ref="AA5:AA15" si="11">G5+Z5</f>
        <v>0</v>
      </c>
      <c r="AB5" s="27"/>
      <c r="AC5" s="66">
        <f t="shared" si="6"/>
        <v>0.49652777777777773</v>
      </c>
      <c r="AD5" s="73">
        <v>11</v>
      </c>
    </row>
    <row r="6" spans="1:31" x14ac:dyDescent="0.3">
      <c r="A6" s="102" t="s">
        <v>79</v>
      </c>
      <c r="B6" s="21">
        <v>3</v>
      </c>
      <c r="C6" s="22">
        <v>41159</v>
      </c>
      <c r="D6" s="76" t="str">
        <f t="shared" si="7"/>
        <v>Fri</v>
      </c>
      <c r="E6" s="76">
        <f t="shared" si="8"/>
        <v>3</v>
      </c>
      <c r="F6" s="48" t="s">
        <v>49</v>
      </c>
      <c r="G6" s="41">
        <v>14.1</v>
      </c>
      <c r="H6" s="28">
        <v>0.35416666666666702</v>
      </c>
      <c r="I6" s="28">
        <v>1.7361111111111112E-2</v>
      </c>
      <c r="J6" s="28">
        <f t="shared" si="0"/>
        <v>0.37152777777777812</v>
      </c>
      <c r="K6" s="34">
        <v>712</v>
      </c>
      <c r="L6" s="34">
        <v>2642</v>
      </c>
      <c r="M6" s="34">
        <f t="shared" si="1"/>
        <v>1930</v>
      </c>
      <c r="N6" s="44">
        <v>34.799999999999997</v>
      </c>
      <c r="O6" s="29">
        <f t="shared" si="2"/>
        <v>5.5459770114942526E-2</v>
      </c>
      <c r="P6" s="36">
        <v>0.1</v>
      </c>
      <c r="Q6" s="28">
        <v>0.16666666666666666</v>
      </c>
      <c r="R6" s="28">
        <f t="shared" si="3"/>
        <v>0.53819444444444475</v>
      </c>
      <c r="S6" s="28">
        <v>4.1666666666666664E-2</v>
      </c>
      <c r="T6" s="45">
        <f>N6</f>
        <v>34.799999999999997</v>
      </c>
      <c r="U6" s="71">
        <f>N6+T6</f>
        <v>69.599999999999994</v>
      </c>
      <c r="V6" s="28">
        <f t="shared" si="4"/>
        <v>0.57986111111111138</v>
      </c>
      <c r="W6" s="28">
        <v>7.2916666666666699E-2</v>
      </c>
      <c r="X6" s="28">
        <f t="shared" si="10"/>
        <v>0.23958333333333337</v>
      </c>
      <c r="Y6" s="28">
        <f t="shared" si="5"/>
        <v>0.65277777777777812</v>
      </c>
      <c r="Z6" s="27">
        <f>G6</f>
        <v>14.1</v>
      </c>
      <c r="AA6" s="27">
        <f t="shared" si="11"/>
        <v>28.2</v>
      </c>
      <c r="AB6" s="46">
        <f>I6</f>
        <v>1.7361111111111112E-2</v>
      </c>
      <c r="AC6" s="66">
        <f t="shared" si="6"/>
        <v>0.67013888888888928</v>
      </c>
      <c r="AD6" s="73">
        <v>1</v>
      </c>
    </row>
    <row r="7" spans="1:31" x14ac:dyDescent="0.3">
      <c r="A7" s="102" t="s">
        <v>79</v>
      </c>
      <c r="B7" s="21">
        <v>4</v>
      </c>
      <c r="C7" s="22">
        <v>41160</v>
      </c>
      <c r="D7" s="76" t="str">
        <f t="shared" si="7"/>
        <v>Sat</v>
      </c>
      <c r="E7" s="76">
        <f t="shared" si="8"/>
        <v>4</v>
      </c>
      <c r="F7" s="48" t="s">
        <v>51</v>
      </c>
      <c r="G7" s="27">
        <v>29</v>
      </c>
      <c r="H7" s="28">
        <v>0.35416666666666702</v>
      </c>
      <c r="I7" s="28">
        <v>3.8194444444444441E-2</v>
      </c>
      <c r="J7" s="28">
        <f t="shared" si="0"/>
        <v>0.39236111111111144</v>
      </c>
      <c r="K7" s="34">
        <v>494</v>
      </c>
      <c r="L7" s="34">
        <v>2067</v>
      </c>
      <c r="M7" s="34">
        <f t="shared" si="1"/>
        <v>1573</v>
      </c>
      <c r="N7" s="44">
        <v>21</v>
      </c>
      <c r="O7" s="29">
        <f t="shared" si="2"/>
        <v>7.4904761904761905E-2</v>
      </c>
      <c r="P7" s="36">
        <v>8.5000000000000006E-2</v>
      </c>
      <c r="Q7" s="28">
        <v>0.11805555555555557</v>
      </c>
      <c r="R7" s="28">
        <f t="shared" si="3"/>
        <v>0.51041666666666696</v>
      </c>
      <c r="S7" s="28">
        <v>2.0833333333333332E-2</v>
      </c>
      <c r="T7" s="49">
        <f t="shared" si="9"/>
        <v>36.799999999999997</v>
      </c>
      <c r="U7" s="71">
        <v>57.8</v>
      </c>
      <c r="V7" s="28">
        <f t="shared" si="4"/>
        <v>0.53125000000000033</v>
      </c>
      <c r="W7" s="28">
        <v>6.25E-2</v>
      </c>
      <c r="X7" s="28">
        <f t="shared" si="10"/>
        <v>0.18055555555555558</v>
      </c>
      <c r="Y7" s="28">
        <f t="shared" si="5"/>
        <v>0.59375000000000033</v>
      </c>
      <c r="Z7" s="27"/>
      <c r="AA7" s="27">
        <f t="shared" si="11"/>
        <v>29</v>
      </c>
      <c r="AB7" s="27"/>
      <c r="AC7" s="66">
        <f t="shared" si="6"/>
        <v>0.59375000000000033</v>
      </c>
      <c r="AD7" s="73">
        <v>8</v>
      </c>
    </row>
    <row r="8" spans="1:31" x14ac:dyDescent="0.3">
      <c r="A8" s="102" t="s">
        <v>79</v>
      </c>
      <c r="B8" s="21">
        <v>5</v>
      </c>
      <c r="C8" s="22">
        <v>41161</v>
      </c>
      <c r="D8" s="76" t="str">
        <f t="shared" si="7"/>
        <v>Sun</v>
      </c>
      <c r="E8" s="106">
        <f t="shared" si="8"/>
        <v>5</v>
      </c>
      <c r="F8" s="48" t="s">
        <v>3</v>
      </c>
      <c r="G8" s="27">
        <v>11.5</v>
      </c>
      <c r="H8" s="28">
        <v>0.35416666666666669</v>
      </c>
      <c r="I8" s="28">
        <v>2.0833333333333332E-2</v>
      </c>
      <c r="J8" s="28">
        <f t="shared" si="0"/>
        <v>0.375</v>
      </c>
      <c r="K8" s="34">
        <v>471</v>
      </c>
      <c r="L8" s="34">
        <v>1993</v>
      </c>
      <c r="M8" s="34">
        <f t="shared" si="1"/>
        <v>1522</v>
      </c>
      <c r="N8" s="44">
        <v>19.05</v>
      </c>
      <c r="O8" s="29">
        <f t="shared" si="2"/>
        <v>7.9895013123359573E-2</v>
      </c>
      <c r="P8" s="36">
        <v>9.0999999999999998E-2</v>
      </c>
      <c r="Q8" s="28">
        <v>0.10416666666666667</v>
      </c>
      <c r="R8" s="28">
        <f t="shared" si="3"/>
        <v>0.47916666666666669</v>
      </c>
      <c r="S8" s="28">
        <v>2.0833333333333332E-2</v>
      </c>
      <c r="T8" s="49">
        <f t="shared" si="9"/>
        <v>19.05</v>
      </c>
      <c r="U8" s="71">
        <v>38.1</v>
      </c>
      <c r="V8" s="28">
        <f t="shared" si="4"/>
        <v>0.5</v>
      </c>
      <c r="W8" s="28">
        <v>3.8194444444444441E-2</v>
      </c>
      <c r="X8" s="28">
        <f t="shared" si="10"/>
        <v>0.1423611111111111</v>
      </c>
      <c r="Y8" s="28">
        <f t="shared" si="5"/>
        <v>0.53819444444444442</v>
      </c>
      <c r="Z8" s="27">
        <v>11.5</v>
      </c>
      <c r="AA8" s="27">
        <f t="shared" si="11"/>
        <v>23</v>
      </c>
      <c r="AB8" s="40">
        <f>I8</f>
        <v>2.0833333333333332E-2</v>
      </c>
      <c r="AC8" s="66">
        <f t="shared" si="6"/>
        <v>0.55902777777777779</v>
      </c>
      <c r="AD8" s="73">
        <v>9</v>
      </c>
    </row>
    <row r="9" spans="1:31" x14ac:dyDescent="0.3">
      <c r="A9" s="102" t="s">
        <v>79</v>
      </c>
      <c r="B9" s="21">
        <v>6</v>
      </c>
      <c r="C9" s="22">
        <v>41162</v>
      </c>
      <c r="D9" s="76" t="str">
        <f t="shared" si="7"/>
        <v>Mon</v>
      </c>
      <c r="F9" s="48" t="s">
        <v>57</v>
      </c>
      <c r="G9" s="27"/>
      <c r="H9" s="28">
        <v>0.35416666666666702</v>
      </c>
      <c r="I9" s="28">
        <f>I5</f>
        <v>0</v>
      </c>
      <c r="J9" s="28">
        <f t="shared" si="0"/>
        <v>0.35416666666666702</v>
      </c>
      <c r="K9" s="34">
        <v>567</v>
      </c>
      <c r="L9" s="34">
        <v>1617</v>
      </c>
      <c r="M9" s="34">
        <f t="shared" si="1"/>
        <v>1050</v>
      </c>
      <c r="N9" s="44">
        <v>17.2</v>
      </c>
      <c r="O9" s="29">
        <f t="shared" si="2"/>
        <v>6.1046511627906974E-2</v>
      </c>
      <c r="P9" s="36">
        <v>7.1999999999999995E-2</v>
      </c>
      <c r="Q9" s="28">
        <v>7.6388888888888895E-2</v>
      </c>
      <c r="R9" s="28">
        <f t="shared" si="3"/>
        <v>0.43055555555555591</v>
      </c>
      <c r="S9" s="28">
        <v>2.0833333333333301E-2</v>
      </c>
      <c r="T9" s="49">
        <f t="shared" si="9"/>
        <v>17.2</v>
      </c>
      <c r="U9" s="71">
        <f>N9*2</f>
        <v>34.4</v>
      </c>
      <c r="V9" s="28">
        <f t="shared" si="4"/>
        <v>0.45138888888888923</v>
      </c>
      <c r="W9" s="28">
        <v>2.4305555555555556E-2</v>
      </c>
      <c r="X9" s="28">
        <f t="shared" si="10"/>
        <v>0.10069444444444445</v>
      </c>
      <c r="Y9" s="28">
        <f t="shared" si="5"/>
        <v>0.47569444444444481</v>
      </c>
      <c r="Z9" s="27"/>
      <c r="AA9" s="27">
        <f t="shared" si="11"/>
        <v>0</v>
      </c>
      <c r="AB9" s="27"/>
      <c r="AC9" s="66">
        <f t="shared" si="6"/>
        <v>0.47569444444444481</v>
      </c>
      <c r="AD9" s="73">
        <v>13</v>
      </c>
    </row>
    <row r="10" spans="1:31" x14ac:dyDescent="0.3">
      <c r="A10" s="105"/>
      <c r="B10" s="21">
        <f>B9</f>
        <v>6</v>
      </c>
      <c r="C10" s="22">
        <f>C9</f>
        <v>41162</v>
      </c>
      <c r="D10" s="76" t="str">
        <f t="shared" si="7"/>
        <v>Mon</v>
      </c>
      <c r="E10" s="76">
        <v>1</v>
      </c>
      <c r="F10" s="89" t="s">
        <v>82</v>
      </c>
      <c r="G10" s="27"/>
      <c r="H10" s="28"/>
      <c r="I10" s="28"/>
      <c r="J10" s="28"/>
      <c r="K10" s="34"/>
      <c r="L10" s="34"/>
      <c r="M10" s="34"/>
      <c r="N10" s="44"/>
      <c r="O10" s="29"/>
      <c r="P10" s="36"/>
      <c r="Q10" s="28"/>
      <c r="R10" s="28"/>
      <c r="S10" s="28"/>
      <c r="T10" s="49"/>
      <c r="U10" s="71"/>
      <c r="V10" s="28"/>
      <c r="W10" s="28"/>
      <c r="X10" s="28"/>
      <c r="Y10" s="28"/>
      <c r="Z10" s="27"/>
      <c r="AA10" s="27"/>
      <c r="AB10" s="27"/>
      <c r="AC10" s="66"/>
      <c r="AD10" s="73"/>
    </row>
    <row r="11" spans="1:31" x14ac:dyDescent="0.3">
      <c r="A11" s="103" t="s">
        <v>80</v>
      </c>
      <c r="B11" s="21">
        <v>7</v>
      </c>
      <c r="C11" s="22">
        <v>41163</v>
      </c>
      <c r="D11" s="76" t="str">
        <f t="shared" si="7"/>
        <v>Tue</v>
      </c>
      <c r="E11" s="76">
        <v>2</v>
      </c>
      <c r="F11" s="48" t="s">
        <v>52</v>
      </c>
      <c r="G11" s="27"/>
      <c r="H11" s="28">
        <v>0.35416666666666602</v>
      </c>
      <c r="I11" s="28">
        <v>0</v>
      </c>
      <c r="J11" s="28">
        <f t="shared" si="0"/>
        <v>0.35416666666666602</v>
      </c>
      <c r="K11" s="34">
        <v>560</v>
      </c>
      <c r="L11" s="34">
        <v>1665</v>
      </c>
      <c r="M11" s="34">
        <f t="shared" si="1"/>
        <v>1105</v>
      </c>
      <c r="N11" s="44">
        <v>17.78</v>
      </c>
      <c r="O11" s="47">
        <f t="shared" si="2"/>
        <v>6.2148481439820019E-2</v>
      </c>
      <c r="P11" s="36">
        <v>6.0999999999999999E-2</v>
      </c>
      <c r="Q11" s="28">
        <v>8.3333333333333329E-2</v>
      </c>
      <c r="R11" s="28">
        <f t="shared" si="3"/>
        <v>0.43749999999999933</v>
      </c>
      <c r="S11" s="28">
        <v>2.0833333333333332E-2</v>
      </c>
      <c r="T11" s="49">
        <f t="shared" si="9"/>
        <v>21.22</v>
      </c>
      <c r="U11" s="71">
        <v>39</v>
      </c>
      <c r="V11" s="28">
        <f t="shared" si="4"/>
        <v>0.45833333333333265</v>
      </c>
      <c r="W11" s="28">
        <v>3.8194444444444441E-2</v>
      </c>
      <c r="X11" s="28">
        <f t="shared" si="10"/>
        <v>0.12152777777777776</v>
      </c>
      <c r="Y11" s="28">
        <f t="shared" ref="Y11:Y15" si="12">V11+W11</f>
        <v>0.49652777777777707</v>
      </c>
      <c r="Z11" s="27"/>
      <c r="AA11" s="27">
        <f t="shared" si="11"/>
        <v>0</v>
      </c>
      <c r="AB11" s="27"/>
      <c r="AC11" s="66">
        <f t="shared" si="6"/>
        <v>0.49652777777777707</v>
      </c>
      <c r="AD11" s="73">
        <v>12</v>
      </c>
    </row>
    <row r="12" spans="1:31" x14ac:dyDescent="0.3">
      <c r="A12" s="103" t="s">
        <v>80</v>
      </c>
      <c r="B12" s="21">
        <v>8</v>
      </c>
      <c r="C12" s="22">
        <v>41164</v>
      </c>
      <c r="D12" s="76" t="str">
        <f t="shared" ref="D12:D21" si="13">TEXT(C12,"ddd")</f>
        <v>Wed</v>
      </c>
      <c r="E12" s="76">
        <v>3</v>
      </c>
      <c r="F12" s="48" t="s">
        <v>53</v>
      </c>
      <c r="G12" s="27">
        <v>29.5</v>
      </c>
      <c r="H12" s="28">
        <v>0.35416666666666502</v>
      </c>
      <c r="I12" s="28">
        <v>3.8194444444444441E-2</v>
      </c>
      <c r="J12" s="28">
        <f t="shared" si="0"/>
        <v>0.39236111111110944</v>
      </c>
      <c r="K12" s="34">
        <v>1413</v>
      </c>
      <c r="L12" s="34">
        <v>2642</v>
      </c>
      <c r="M12" s="34">
        <f t="shared" si="1"/>
        <v>1229</v>
      </c>
      <c r="N12" s="44">
        <v>19.52</v>
      </c>
      <c r="O12" s="47">
        <f t="shared" si="2"/>
        <v>6.2961065573770486E-2</v>
      </c>
      <c r="P12" s="36">
        <v>0.12</v>
      </c>
      <c r="Q12" s="28">
        <v>9.7222222222222224E-2</v>
      </c>
      <c r="R12" s="28">
        <f t="shared" si="3"/>
        <v>0.48958333333333165</v>
      </c>
      <c r="S12" s="28">
        <v>2.0833333333333402E-2</v>
      </c>
      <c r="T12" s="49">
        <f t="shared" si="9"/>
        <v>23.080000000000002</v>
      </c>
      <c r="U12" s="71">
        <v>42.6</v>
      </c>
      <c r="V12" s="28">
        <f t="shared" si="4"/>
        <v>0.51041666666666508</v>
      </c>
      <c r="W12" s="28">
        <v>4.1666666666666664E-2</v>
      </c>
      <c r="X12" s="28">
        <f t="shared" si="10"/>
        <v>0.1388888888888889</v>
      </c>
      <c r="Y12" s="28">
        <f t="shared" si="12"/>
        <v>0.55208333333333171</v>
      </c>
      <c r="Z12" s="27"/>
      <c r="AA12" s="27">
        <f t="shared" si="11"/>
        <v>29.5</v>
      </c>
      <c r="AB12" s="27"/>
      <c r="AC12" s="66">
        <f t="shared" si="6"/>
        <v>0.55208333333333171</v>
      </c>
      <c r="AD12" s="73">
        <v>7</v>
      </c>
    </row>
    <row r="13" spans="1:31" x14ac:dyDescent="0.3">
      <c r="A13" s="103" t="s">
        <v>80</v>
      </c>
      <c r="B13" s="21">
        <v>9</v>
      </c>
      <c r="C13" s="22">
        <v>41165</v>
      </c>
      <c r="D13" s="76" t="str">
        <f t="shared" si="13"/>
        <v>Thu</v>
      </c>
      <c r="E13" s="76">
        <v>4</v>
      </c>
      <c r="F13" s="48" t="s">
        <v>58</v>
      </c>
      <c r="G13" s="27"/>
      <c r="H13" s="28">
        <v>0.35416666666666402</v>
      </c>
      <c r="I13" s="28">
        <v>0</v>
      </c>
      <c r="J13" s="28">
        <f t="shared" si="0"/>
        <v>0.35416666666666402</v>
      </c>
      <c r="K13" s="34">
        <v>752</v>
      </c>
      <c r="L13" s="34">
        <v>1780</v>
      </c>
      <c r="M13" s="34">
        <f t="shared" si="1"/>
        <v>1028</v>
      </c>
      <c r="N13" s="44">
        <v>13.2</v>
      </c>
      <c r="O13" s="47">
        <f t="shared" si="2"/>
        <v>7.7878787878787881E-2</v>
      </c>
      <c r="P13" s="36">
        <v>0.106</v>
      </c>
      <c r="Q13" s="28">
        <v>0.1111111111111111</v>
      </c>
      <c r="R13" s="28">
        <f t="shared" si="3"/>
        <v>0.46527777777777513</v>
      </c>
      <c r="S13" s="28">
        <v>2.0833333333333402E-2</v>
      </c>
      <c r="T13" s="42">
        <f t="shared" si="9"/>
        <v>41.8</v>
      </c>
      <c r="U13" s="71">
        <v>55</v>
      </c>
      <c r="V13" s="28">
        <f t="shared" si="4"/>
        <v>0.48611111111110855</v>
      </c>
      <c r="W13" s="28">
        <v>7.9861111111111105E-2</v>
      </c>
      <c r="X13" s="28">
        <f t="shared" si="10"/>
        <v>0.19097222222222221</v>
      </c>
      <c r="Y13" s="28">
        <f t="shared" si="12"/>
        <v>0.56597222222221966</v>
      </c>
      <c r="Z13" s="27"/>
      <c r="AA13" s="27">
        <f t="shared" si="11"/>
        <v>0</v>
      </c>
      <c r="AB13" s="27"/>
      <c r="AC13" s="66">
        <f t="shared" si="6"/>
        <v>0.56597222222221966</v>
      </c>
      <c r="AD13" s="73">
        <v>3</v>
      </c>
    </row>
    <row r="14" spans="1:31" x14ac:dyDescent="0.3">
      <c r="A14" s="103" t="s">
        <v>80</v>
      </c>
      <c r="B14" s="21">
        <v>9</v>
      </c>
      <c r="C14" s="22">
        <f>C15</f>
        <v>41166</v>
      </c>
      <c r="D14" s="76" t="str">
        <f>D15</f>
        <v>Fri</v>
      </c>
      <c r="E14" s="76">
        <v>5</v>
      </c>
      <c r="F14" s="48" t="s">
        <v>83</v>
      </c>
      <c r="G14" s="27"/>
      <c r="H14" s="28">
        <f>H13</f>
        <v>0.35416666666666402</v>
      </c>
      <c r="I14" s="28">
        <v>0</v>
      </c>
      <c r="J14" s="28">
        <v>0.36805555555555558</v>
      </c>
      <c r="K14" s="34">
        <v>780</v>
      </c>
      <c r="L14" s="34">
        <v>1720</v>
      </c>
      <c r="M14" s="34">
        <f t="shared" si="1"/>
        <v>940</v>
      </c>
      <c r="N14" s="44">
        <v>26.5</v>
      </c>
      <c r="O14" s="47">
        <f>M14/(N14*1000)+0.004</f>
        <v>3.9471698113207554E-2</v>
      </c>
      <c r="P14" s="36">
        <v>0.11600000000000001</v>
      </c>
      <c r="Q14" s="28">
        <v>0.12152777777777778</v>
      </c>
      <c r="R14" s="28">
        <f t="shared" si="3"/>
        <v>0.48958333333333337</v>
      </c>
      <c r="S14" s="28">
        <v>2.0833333333333332E-2</v>
      </c>
      <c r="T14" s="42">
        <f t="shared" si="9"/>
        <v>36.5</v>
      </c>
      <c r="U14" s="71">
        <f>(N14*2)+(5*2)</f>
        <v>63</v>
      </c>
      <c r="V14" s="28">
        <f t="shared" si="4"/>
        <v>0.51041666666666674</v>
      </c>
      <c r="W14" s="28">
        <v>3.8194444444444441E-2</v>
      </c>
      <c r="X14" s="28">
        <f t="shared" si="10"/>
        <v>0.15972222222222221</v>
      </c>
      <c r="Y14" s="28">
        <f t="shared" si="12"/>
        <v>0.54861111111111116</v>
      </c>
      <c r="Z14" s="27"/>
      <c r="AA14" s="27"/>
      <c r="AB14" s="27"/>
      <c r="AC14" s="66">
        <f t="shared" si="6"/>
        <v>0.54861111111111116</v>
      </c>
      <c r="AD14" s="73">
        <v>14</v>
      </c>
    </row>
    <row r="15" spans="1:31" x14ac:dyDescent="0.3">
      <c r="A15" s="103" t="s">
        <v>80</v>
      </c>
      <c r="B15" s="21">
        <v>10</v>
      </c>
      <c r="C15" s="22">
        <v>41166</v>
      </c>
      <c r="D15" s="76" t="str">
        <f t="shared" si="13"/>
        <v>Fri</v>
      </c>
      <c r="E15" s="76">
        <v>5</v>
      </c>
      <c r="F15" s="48" t="s">
        <v>54</v>
      </c>
      <c r="G15" s="27"/>
      <c r="H15" s="28">
        <v>0.35416666666666302</v>
      </c>
      <c r="I15" s="28">
        <v>0</v>
      </c>
      <c r="J15" s="28">
        <f t="shared" si="0"/>
        <v>0.35416666666666302</v>
      </c>
      <c r="K15" s="34">
        <v>755</v>
      </c>
      <c r="L15" s="34">
        <v>1721</v>
      </c>
      <c r="M15" s="34">
        <f t="shared" si="1"/>
        <v>966</v>
      </c>
      <c r="N15" s="44">
        <v>13.09</v>
      </c>
      <c r="O15" s="47">
        <f t="shared" si="2"/>
        <v>7.3796791443850263E-2</v>
      </c>
      <c r="P15" s="36">
        <v>8.2000000000000003E-2</v>
      </c>
      <c r="Q15" s="28">
        <v>9.0277777777777776E-2</v>
      </c>
      <c r="R15" s="28">
        <f t="shared" si="3"/>
        <v>0.44444444444444081</v>
      </c>
      <c r="S15" s="28">
        <v>2.0833333333333402E-2</v>
      </c>
      <c r="T15" s="45">
        <f t="shared" si="9"/>
        <v>18.91</v>
      </c>
      <c r="U15" s="71">
        <v>32</v>
      </c>
      <c r="V15" s="28">
        <f t="shared" si="4"/>
        <v>0.46527777777777424</v>
      </c>
      <c r="W15" s="28">
        <v>3.4722222222222224E-2</v>
      </c>
      <c r="X15" s="28">
        <f t="shared" si="10"/>
        <v>0.125</v>
      </c>
      <c r="Y15" s="28">
        <f t="shared" si="12"/>
        <v>0.49999999999999645</v>
      </c>
      <c r="Z15" s="27"/>
      <c r="AA15" s="27">
        <f t="shared" si="11"/>
        <v>0</v>
      </c>
      <c r="AB15" s="27"/>
      <c r="AC15" s="66">
        <f t="shared" si="6"/>
        <v>0.49999999999999645</v>
      </c>
      <c r="AD15" s="73">
        <v>14</v>
      </c>
    </row>
    <row r="16" spans="1:31" x14ac:dyDescent="0.3">
      <c r="A16" s="103" t="s">
        <v>80</v>
      </c>
      <c r="B16" s="21">
        <v>11</v>
      </c>
      <c r="C16" s="22">
        <v>41167</v>
      </c>
      <c r="D16" s="76" t="str">
        <f t="shared" si="13"/>
        <v>Sat</v>
      </c>
      <c r="E16" s="106">
        <v>6</v>
      </c>
      <c r="F16" s="48" t="s">
        <v>56</v>
      </c>
      <c r="G16" s="27">
        <v>7</v>
      </c>
      <c r="H16" s="28">
        <v>0.35416666666666669</v>
      </c>
      <c r="I16" s="28">
        <v>1.0416666666666666E-2</v>
      </c>
      <c r="J16" s="28">
        <f t="shared" si="0"/>
        <v>0.36458333333333337</v>
      </c>
      <c r="K16" s="34">
        <v>430</v>
      </c>
      <c r="L16" s="34">
        <v>1989</v>
      </c>
      <c r="M16" s="34">
        <f t="shared" si="1"/>
        <v>1559</v>
      </c>
      <c r="N16" s="44">
        <v>22.6</v>
      </c>
      <c r="O16" s="47">
        <f t="shared" si="2"/>
        <v>6.8982300884955758E-2</v>
      </c>
      <c r="P16" s="36">
        <v>7.3999999999999996E-2</v>
      </c>
      <c r="Q16" s="28">
        <v>0.1111111111111111</v>
      </c>
      <c r="R16" s="28">
        <f t="shared" si="3"/>
        <v>0.47569444444444448</v>
      </c>
      <c r="S16" s="28">
        <v>2.0833333333333332E-2</v>
      </c>
      <c r="T16" s="49">
        <f t="shared" si="9"/>
        <v>32.4</v>
      </c>
      <c r="U16" s="71">
        <v>55</v>
      </c>
      <c r="V16" s="28">
        <f t="shared" ref="V16" si="14">R16+S16</f>
        <v>0.49652777777777779</v>
      </c>
      <c r="W16" s="28">
        <v>6.5972222222222224E-2</v>
      </c>
      <c r="X16" s="28">
        <f t="shared" si="10"/>
        <v>0.17708333333333331</v>
      </c>
      <c r="Y16" s="28">
        <f t="shared" ref="Y16" si="15">V16+W16</f>
        <v>0.5625</v>
      </c>
      <c r="Z16" s="27"/>
      <c r="AA16" s="27">
        <f>G16+Z16</f>
        <v>7</v>
      </c>
      <c r="AB16" s="41"/>
      <c r="AC16" s="66">
        <f>Y16</f>
        <v>0.5625</v>
      </c>
      <c r="AD16" s="73">
        <v>6</v>
      </c>
    </row>
    <row r="17" spans="1:30" x14ac:dyDescent="0.3">
      <c r="A17" s="103" t="s">
        <v>80</v>
      </c>
      <c r="B17" s="21">
        <f>B16</f>
        <v>11</v>
      </c>
      <c r="C17" s="22">
        <v>41168</v>
      </c>
      <c r="D17" s="76" t="str">
        <f t="shared" si="13"/>
        <v>Sun</v>
      </c>
      <c r="E17" s="76">
        <v>1</v>
      </c>
      <c r="F17" s="89" t="s">
        <v>104</v>
      </c>
      <c r="G17" s="27"/>
      <c r="H17" s="28"/>
      <c r="I17" s="28"/>
      <c r="J17" s="28"/>
      <c r="K17" s="34"/>
      <c r="L17" s="34"/>
      <c r="M17" s="34"/>
      <c r="N17" s="44"/>
      <c r="O17" s="47"/>
      <c r="P17" s="36"/>
      <c r="Q17" s="28"/>
      <c r="R17" s="28"/>
      <c r="S17" s="28"/>
      <c r="T17" s="49"/>
      <c r="U17" s="71"/>
      <c r="V17" s="28"/>
      <c r="W17" s="28"/>
      <c r="X17" s="28"/>
      <c r="Y17" s="28"/>
      <c r="Z17" s="27"/>
      <c r="AA17" s="27"/>
      <c r="AB17" s="41"/>
      <c r="AC17" s="66"/>
      <c r="AD17" s="73"/>
    </row>
    <row r="18" spans="1:30" x14ac:dyDescent="0.3">
      <c r="A18" s="104" t="s">
        <v>81</v>
      </c>
      <c r="B18" s="21">
        <v>12</v>
      </c>
      <c r="C18" s="22">
        <v>41168</v>
      </c>
      <c r="D18" s="76" t="str">
        <f t="shared" si="13"/>
        <v>Sun</v>
      </c>
      <c r="E18" s="76">
        <v>1</v>
      </c>
      <c r="F18" s="48" t="s">
        <v>38</v>
      </c>
      <c r="G18" s="27">
        <v>35</v>
      </c>
      <c r="H18" s="28">
        <v>0.35416666666666669</v>
      </c>
      <c r="I18" s="28">
        <v>4.1666666666666664E-2</v>
      </c>
      <c r="J18" s="28">
        <f t="shared" si="0"/>
        <v>0.39583333333333337</v>
      </c>
      <c r="K18" s="34">
        <v>290</v>
      </c>
      <c r="L18" s="34">
        <v>1912</v>
      </c>
      <c r="M18" s="34">
        <f t="shared" si="1"/>
        <v>1622</v>
      </c>
      <c r="N18" s="44">
        <v>22.7</v>
      </c>
      <c r="O18" s="29">
        <f t="shared" si="2"/>
        <v>7.1453744493392077E-2</v>
      </c>
      <c r="P18" s="36">
        <v>0.11</v>
      </c>
      <c r="Q18" s="28">
        <v>0.125</v>
      </c>
      <c r="R18" s="28">
        <f t="shared" si="3"/>
        <v>0.52083333333333337</v>
      </c>
      <c r="S18" s="28">
        <v>2.0833333333333332E-2</v>
      </c>
      <c r="T18" s="30">
        <f>N20</f>
        <v>25.7</v>
      </c>
      <c r="U18" s="71">
        <f>N18+T18</f>
        <v>48.4</v>
      </c>
      <c r="V18" s="28">
        <f>R18+S18</f>
        <v>0.54166666666666674</v>
      </c>
      <c r="W18" s="28">
        <v>3.125E-2</v>
      </c>
      <c r="X18" s="28">
        <f t="shared" si="10"/>
        <v>0.15625</v>
      </c>
      <c r="Y18" s="28">
        <f>V18+W18</f>
        <v>0.57291666666666674</v>
      </c>
      <c r="Z18" s="27"/>
      <c r="AA18" s="27">
        <f>G18+Z18</f>
        <v>35</v>
      </c>
      <c r="AB18" s="41"/>
      <c r="AC18" s="66">
        <f t="shared" ref="AC18:AC19" si="16">Y18</f>
        <v>0.57291666666666674</v>
      </c>
      <c r="AD18" s="73">
        <v>2</v>
      </c>
    </row>
    <row r="19" spans="1:30" x14ac:dyDescent="0.3">
      <c r="A19" s="104" t="s">
        <v>81</v>
      </c>
      <c r="B19" s="21">
        <v>13</v>
      </c>
      <c r="C19" s="22">
        <v>41169</v>
      </c>
      <c r="D19" s="76" t="str">
        <f t="shared" si="13"/>
        <v>Mon</v>
      </c>
      <c r="E19" s="76">
        <v>2</v>
      </c>
      <c r="F19" s="48" t="s">
        <v>39</v>
      </c>
      <c r="G19" s="27">
        <v>47</v>
      </c>
      <c r="H19" s="28">
        <v>0.35416666666666669</v>
      </c>
      <c r="I19" s="28">
        <v>5.5555555555555552E-2</v>
      </c>
      <c r="J19" s="28">
        <f t="shared" si="0"/>
        <v>0.40972222222222221</v>
      </c>
      <c r="K19" s="34">
        <v>377</v>
      </c>
      <c r="L19" s="34">
        <v>1912</v>
      </c>
      <c r="M19" s="34">
        <f t="shared" ref="M19:M20" si="17">L19-K19</f>
        <v>1535</v>
      </c>
      <c r="N19" s="44">
        <v>21.2</v>
      </c>
      <c r="O19" s="29">
        <f t="shared" si="2"/>
        <v>7.2405660377358488E-2</v>
      </c>
      <c r="P19" s="36">
        <v>0.12</v>
      </c>
      <c r="Q19" s="28">
        <v>0.125</v>
      </c>
      <c r="R19" s="28">
        <f t="shared" ref="R19:R20" si="18">J19+Q19</f>
        <v>0.53472222222222221</v>
      </c>
      <c r="S19" s="28">
        <v>2.0833333333333332E-2</v>
      </c>
      <c r="T19" s="30">
        <f>N18</f>
        <v>22.7</v>
      </c>
      <c r="U19" s="71">
        <f t="shared" ref="U19:U20" si="19">N19+T19</f>
        <v>43.9</v>
      </c>
      <c r="V19" s="28">
        <f t="shared" ref="V19:V20" si="20">R19+S19</f>
        <v>0.55555555555555558</v>
      </c>
      <c r="W19" s="28">
        <v>7.2916666666666671E-2</v>
      </c>
      <c r="X19" s="28">
        <f t="shared" si="10"/>
        <v>0.19791666666666669</v>
      </c>
      <c r="Y19" s="28">
        <f t="shared" ref="Y19:Y20" si="21">V19+W19</f>
        <v>0.62847222222222221</v>
      </c>
      <c r="Z19" s="27">
        <f>G18</f>
        <v>35</v>
      </c>
      <c r="AA19" s="27">
        <f>G19+Z19</f>
        <v>82</v>
      </c>
      <c r="AB19" s="41"/>
      <c r="AC19" s="66">
        <f t="shared" si="16"/>
        <v>0.62847222222222221</v>
      </c>
      <c r="AD19" s="73">
        <v>4</v>
      </c>
    </row>
    <row r="20" spans="1:30" x14ac:dyDescent="0.3">
      <c r="A20" s="104" t="s">
        <v>81</v>
      </c>
      <c r="B20" s="21">
        <v>14</v>
      </c>
      <c r="C20" s="22">
        <v>41170</v>
      </c>
      <c r="D20" s="76" t="str">
        <f t="shared" si="13"/>
        <v>Tue</v>
      </c>
      <c r="E20" s="106">
        <v>3</v>
      </c>
      <c r="F20" s="48" t="s">
        <v>40</v>
      </c>
      <c r="G20" s="55"/>
      <c r="H20" s="28">
        <v>0.35416666666666669</v>
      </c>
      <c r="I20" s="28">
        <v>0</v>
      </c>
      <c r="J20" s="28">
        <f t="shared" si="0"/>
        <v>0.35416666666666669</v>
      </c>
      <c r="K20" s="34">
        <v>760</v>
      </c>
      <c r="L20" s="34">
        <v>1912</v>
      </c>
      <c r="M20" s="56">
        <f t="shared" si="17"/>
        <v>1152</v>
      </c>
      <c r="N20" s="57">
        <v>25.7</v>
      </c>
      <c r="O20" s="29">
        <f t="shared" si="2"/>
        <v>4.4824902723735412E-2</v>
      </c>
      <c r="P20" s="36">
        <v>0.11</v>
      </c>
      <c r="Q20" s="58">
        <v>0.1111111111111111</v>
      </c>
      <c r="R20" s="28">
        <f t="shared" si="18"/>
        <v>0.46527777777777779</v>
      </c>
      <c r="S20" s="28">
        <v>2.0833333333333332E-2</v>
      </c>
      <c r="T20" s="30">
        <f>N20</f>
        <v>25.7</v>
      </c>
      <c r="U20" s="72">
        <f t="shared" si="19"/>
        <v>51.4</v>
      </c>
      <c r="V20" s="28">
        <f t="shared" si="20"/>
        <v>0.4861111111111111</v>
      </c>
      <c r="W20" s="28">
        <v>3.125E-2</v>
      </c>
      <c r="X20" s="58">
        <f t="shared" si="10"/>
        <v>0.1423611111111111</v>
      </c>
      <c r="Y20" s="28">
        <f t="shared" si="21"/>
        <v>0.51736111111111116</v>
      </c>
      <c r="Z20" s="55"/>
      <c r="AA20" s="55">
        <f>G20+Z20</f>
        <v>0</v>
      </c>
      <c r="AB20" s="59"/>
      <c r="AC20" s="66">
        <f>Y20</f>
        <v>0.51736111111111116</v>
      </c>
      <c r="AD20" s="73">
        <v>5</v>
      </c>
    </row>
    <row r="21" spans="1:30" x14ac:dyDescent="0.3">
      <c r="A21" s="23"/>
      <c r="B21" s="23"/>
      <c r="C21" s="22">
        <v>41171</v>
      </c>
      <c r="D21" s="76" t="str">
        <f t="shared" si="13"/>
        <v>Wed</v>
      </c>
      <c r="E21" s="76"/>
      <c r="F21" s="125" t="s">
        <v>105</v>
      </c>
      <c r="G21" s="35">
        <f>SUM(G4:G20)</f>
        <v>173.1</v>
      </c>
      <c r="H21" s="24"/>
      <c r="I21" s="24"/>
      <c r="J21" s="24"/>
      <c r="K21" s="23"/>
      <c r="L21" s="23"/>
      <c r="M21" s="75">
        <f>SUM(M4:M20)</f>
        <v>19452</v>
      </c>
      <c r="N21" s="43">
        <f>SUM(N4:N20)</f>
        <v>308.77</v>
      </c>
      <c r="O21" s="23"/>
      <c r="P21" s="25" t="s">
        <v>46</v>
      </c>
      <c r="Q21" s="99">
        <f>SUM(Q4:Q20)</f>
        <v>1.6145833333333333</v>
      </c>
      <c r="R21" s="23"/>
      <c r="S21" s="23"/>
      <c r="T21" s="26"/>
      <c r="U21" s="70">
        <f>SUM(U4:U20)</f>
        <v>705.43</v>
      </c>
      <c r="V21" s="23"/>
      <c r="W21" s="23"/>
      <c r="X21" s="74">
        <f>SUM(X4:X20)</f>
        <v>2.3125</v>
      </c>
      <c r="Y21" s="23"/>
      <c r="Z21" s="37">
        <f>SUM(Z4:Z20)</f>
        <v>60.6</v>
      </c>
      <c r="AA21" s="37">
        <f>SUM(AA4:AA20)</f>
        <v>233.7</v>
      </c>
      <c r="AB21" s="50">
        <v>3.8194444444444441E-2</v>
      </c>
    </row>
    <row r="22" spans="1:30" x14ac:dyDescent="0.3">
      <c r="B22" s="23"/>
      <c r="C22" s="23"/>
      <c r="D22" s="23"/>
      <c r="E22" s="23"/>
      <c r="F22" s="23"/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4"/>
      <c r="R22" s="23"/>
      <c r="S22" s="23"/>
      <c r="T22" s="26"/>
      <c r="U22" s="68"/>
      <c r="V22" s="23"/>
      <c r="W22" s="23"/>
      <c r="X22" s="23"/>
      <c r="Y22" s="23"/>
      <c r="Z22" s="38"/>
      <c r="AA22" s="39">
        <f>G21+Z21</f>
        <v>233.7</v>
      </c>
    </row>
    <row r="23" spans="1:30" x14ac:dyDescent="0.3">
      <c r="B23" s="23"/>
      <c r="C23" s="23"/>
      <c r="D23" s="23"/>
      <c r="E23" s="23"/>
      <c r="F23" s="23"/>
      <c r="G23" s="23"/>
      <c r="H23" s="24"/>
      <c r="I23" s="24"/>
      <c r="J23" s="24"/>
      <c r="K23" s="23"/>
      <c r="L23" s="23"/>
      <c r="M23" s="23"/>
      <c r="N23" s="23"/>
      <c r="O23" s="23"/>
      <c r="P23" s="23"/>
      <c r="Q23" s="24"/>
      <c r="R23" s="23"/>
      <c r="S23" s="23"/>
      <c r="T23" s="23"/>
      <c r="U23" s="69"/>
      <c r="V23" s="23"/>
      <c r="W23" s="23"/>
      <c r="X23" s="23"/>
      <c r="Y23" s="23"/>
      <c r="Z23" s="23"/>
      <c r="AA23" s="23"/>
    </row>
    <row r="24" spans="1:30" x14ac:dyDescent="0.3">
      <c r="B24" s="23"/>
      <c r="C24" s="23"/>
      <c r="D24" s="23"/>
      <c r="E24" s="23"/>
      <c r="F24" s="23"/>
      <c r="G24" s="23"/>
      <c r="H24" s="24"/>
      <c r="I24" s="24"/>
      <c r="J24" s="24"/>
      <c r="K24" s="23"/>
      <c r="L24" s="23"/>
      <c r="M24" s="23"/>
      <c r="N24" s="23"/>
      <c r="O24" s="23"/>
      <c r="P24" s="23"/>
      <c r="Q24" s="24"/>
      <c r="R24" s="23"/>
      <c r="S24" s="23"/>
      <c r="T24" s="23"/>
      <c r="U24" s="69"/>
      <c r="V24" s="23"/>
      <c r="W24" s="23"/>
      <c r="X24" s="23"/>
      <c r="Y24" s="23"/>
      <c r="Z24" s="23"/>
      <c r="AA24" s="23"/>
    </row>
    <row r="25" spans="1:30" x14ac:dyDescent="0.3">
      <c r="B25" s="23"/>
      <c r="C25" s="23"/>
      <c r="D25" s="23"/>
      <c r="E25" s="23"/>
      <c r="F25" s="86">
        <v>3.28084</v>
      </c>
      <c r="G25" s="23" t="s">
        <v>69</v>
      </c>
      <c r="H25" s="24"/>
      <c r="I25" s="24"/>
      <c r="J25" s="24"/>
      <c r="K25" s="23"/>
      <c r="L25" s="23"/>
      <c r="M25" s="23"/>
      <c r="N25" s="23"/>
      <c r="O25" s="23"/>
      <c r="P25" s="23"/>
      <c r="Q25" s="24"/>
      <c r="R25" s="23"/>
      <c r="S25" s="23"/>
      <c r="T25" s="23"/>
      <c r="U25" s="69"/>
      <c r="V25" s="23"/>
      <c r="W25" s="23"/>
      <c r="X25" s="23"/>
      <c r="Y25" s="23"/>
      <c r="Z25" s="23"/>
      <c r="AA25" s="23"/>
    </row>
    <row r="26" spans="1:30" x14ac:dyDescent="0.3">
      <c r="B26" s="23"/>
      <c r="C26" s="23"/>
      <c r="D26" s="23"/>
      <c r="E26" s="23"/>
      <c r="F26" s="87">
        <f>L6*F25</f>
        <v>8667.9792799999996</v>
      </c>
      <c r="G26" s="23" t="s">
        <v>68</v>
      </c>
      <c r="H26" s="24" t="s">
        <v>70</v>
      </c>
      <c r="I26" s="24"/>
      <c r="J26" s="24"/>
      <c r="K26" s="23"/>
      <c r="L26" s="23"/>
      <c r="M26" s="23"/>
      <c r="N26" s="23"/>
      <c r="O26" s="23"/>
      <c r="P26" s="23"/>
      <c r="Q26" s="24"/>
      <c r="R26" s="23"/>
      <c r="S26" s="23"/>
      <c r="T26" s="23"/>
      <c r="U26" s="69"/>
      <c r="V26" s="23"/>
      <c r="W26" s="23"/>
      <c r="X26" s="23"/>
      <c r="Y26" s="23"/>
      <c r="Z26" s="23"/>
      <c r="AA26" s="23"/>
    </row>
    <row r="27" spans="1:30" x14ac:dyDescent="0.3">
      <c r="B27" s="23"/>
      <c r="C27" s="23"/>
      <c r="D27" s="23"/>
      <c r="E27" s="23"/>
      <c r="F27" s="23"/>
      <c r="G27" s="23"/>
      <c r="H27" s="24"/>
      <c r="I27" s="24"/>
      <c r="J27" s="24"/>
      <c r="K27" s="23"/>
      <c r="L27" s="23"/>
      <c r="M27" s="23"/>
      <c r="N27" s="23"/>
      <c r="O27" s="23"/>
      <c r="P27" s="23"/>
      <c r="Q27" s="24"/>
      <c r="R27" s="23"/>
      <c r="S27" s="23"/>
      <c r="T27" s="23"/>
      <c r="U27" s="69"/>
      <c r="V27" s="23"/>
      <c r="W27" s="23"/>
      <c r="X27" s="23"/>
      <c r="Y27" s="23"/>
      <c r="Z27" s="23"/>
      <c r="AA27" s="23"/>
    </row>
    <row r="28" spans="1:30" x14ac:dyDescent="0.3">
      <c r="B28" s="23"/>
      <c r="C28" s="23"/>
      <c r="D28" s="23"/>
      <c r="E28" s="23"/>
      <c r="F28" s="23"/>
      <c r="G28" s="23"/>
      <c r="H28" s="24"/>
      <c r="I28" s="24"/>
      <c r="J28" s="24"/>
      <c r="K28" s="23"/>
      <c r="L28" s="23"/>
      <c r="M28" s="23"/>
      <c r="N28" s="23"/>
      <c r="O28" s="23"/>
      <c r="P28" s="23"/>
      <c r="Q28" s="24"/>
      <c r="R28" s="23"/>
      <c r="S28" s="23"/>
      <c r="T28" s="23"/>
      <c r="U28" s="69"/>
      <c r="V28" s="23"/>
      <c r="W28" s="23"/>
      <c r="X28" s="23"/>
      <c r="Y28" s="23"/>
      <c r="Z28" s="23"/>
      <c r="AA28" s="23"/>
    </row>
  </sheetData>
  <hyperlinks>
    <hyperlink ref="F12" r:id="rId1"/>
    <hyperlink ref="F15" r:id="rId2" display="Mont\2ndBC-LeBourg_d'Oisan\Villard Reymond\villard_reymond.htm"/>
    <hyperlink ref="F4" r:id="rId3"/>
    <hyperlink ref="F20" r:id="rId4"/>
    <hyperlink ref="F19" r:id="rId5"/>
    <hyperlink ref="F18" r:id="rId6"/>
    <hyperlink ref="F16" r:id="rId7" display="Col de Sarenne descending Alpe d'Huez"/>
    <hyperlink ref="F11" r:id="rId8"/>
    <hyperlink ref="F13" r:id="rId9" display="Bourg d'Oisans to Alpe d'Huez return down Col de Sarenne"/>
    <hyperlink ref="F5" r:id="rId10"/>
    <hyperlink ref="F6" r:id="rId11"/>
    <hyperlink ref="F7" r:id="rId12"/>
    <hyperlink ref="F8" r:id="rId13"/>
    <hyperlink ref="F9" r:id="rId14" display=" Les Karellis -up 'n back down"/>
    <hyperlink ref="A3" r:id="rId15"/>
    <hyperlink ref="A4" r:id="rId16"/>
    <hyperlink ref="A5:A9" r:id="rId17" display="1st"/>
    <hyperlink ref="F14" r:id="rId18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1" orientation="landscape" horizontalDpi="0" verticalDpi="0" r:id="rId19"/>
  <legacy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workbookViewId="0">
      <selection activeCell="D6" sqref="D6"/>
    </sheetView>
  </sheetViews>
  <sheetFormatPr defaultRowHeight="12.75" x14ac:dyDescent="0.2"/>
  <cols>
    <col min="1" max="1" width="4.140625" style="67" customWidth="1"/>
    <col min="2" max="2" width="9.42578125" style="67" customWidth="1"/>
    <col min="3" max="3" width="6.5703125" style="67" customWidth="1"/>
    <col min="9" max="9" width="3.42578125" customWidth="1"/>
    <col min="11" max="11" width="2.140625" customWidth="1"/>
    <col min="16" max="16" width="3.140625" customWidth="1"/>
  </cols>
  <sheetData>
    <row r="2" spans="1:16" ht="15.75" x14ac:dyDescent="0.25">
      <c r="B2" s="81" t="s">
        <v>76</v>
      </c>
    </row>
    <row r="4" spans="1:16" x14ac:dyDescent="0.2">
      <c r="A4" s="67">
        <v>1</v>
      </c>
      <c r="B4" s="88">
        <f>B5-1</f>
        <v>41156</v>
      </c>
      <c r="C4" s="88" t="str">
        <f>TEXT(B4,"ddd")</f>
        <v>Tue</v>
      </c>
      <c r="D4" t="s">
        <v>96</v>
      </c>
    </row>
    <row r="5" spans="1:16" x14ac:dyDescent="0.2">
      <c r="A5" s="67">
        <v>2</v>
      </c>
      <c r="B5" s="88">
        <f>'2012-14 days Climb Stats'!C4</f>
        <v>41157</v>
      </c>
      <c r="C5" s="88" t="str">
        <f>TEXT(B5,"ddd")</f>
        <v>Wed</v>
      </c>
      <c r="D5" t="s">
        <v>103</v>
      </c>
      <c r="P5" s="67">
        <v>1</v>
      </c>
    </row>
    <row r="6" spans="1:16" x14ac:dyDescent="0.2">
      <c r="A6" s="67">
        <v>3</v>
      </c>
      <c r="B6" s="88">
        <f>'2012-14 days Climb Stats'!C5</f>
        <v>41158</v>
      </c>
      <c r="C6" s="88" t="str">
        <f t="shared" ref="C6:C22" si="0">TEXT(B6,"ddd")</f>
        <v>Thu</v>
      </c>
      <c r="D6" t="s">
        <v>71</v>
      </c>
      <c r="P6" s="67">
        <v>2</v>
      </c>
    </row>
    <row r="7" spans="1:16" x14ac:dyDescent="0.2">
      <c r="A7" s="67">
        <v>4</v>
      </c>
      <c r="B7" s="88">
        <f>'2012-14 days Climb Stats'!C6</f>
        <v>41159</v>
      </c>
      <c r="C7" s="88" t="str">
        <f t="shared" si="0"/>
        <v>Fri</v>
      </c>
      <c r="D7" t="s">
        <v>71</v>
      </c>
      <c r="P7" s="67">
        <v>3</v>
      </c>
    </row>
    <row r="8" spans="1:16" x14ac:dyDescent="0.2">
      <c r="A8" s="67">
        <v>5</v>
      </c>
      <c r="B8" s="88">
        <f>'2012-14 days Climb Stats'!C7</f>
        <v>41160</v>
      </c>
      <c r="C8" s="88" t="str">
        <f t="shared" si="0"/>
        <v>Sat</v>
      </c>
      <c r="D8" t="s">
        <v>71</v>
      </c>
      <c r="P8" s="67">
        <v>4</v>
      </c>
    </row>
    <row r="9" spans="1:16" x14ac:dyDescent="0.2">
      <c r="A9" s="67">
        <v>6</v>
      </c>
      <c r="B9" s="88">
        <f>'2012-14 days Climb Stats'!C8</f>
        <v>41161</v>
      </c>
      <c r="C9" s="88" t="str">
        <f t="shared" si="0"/>
        <v>Sun</v>
      </c>
      <c r="D9" t="s">
        <v>71</v>
      </c>
      <c r="P9" s="67">
        <v>5</v>
      </c>
    </row>
    <row r="10" spans="1:16" x14ac:dyDescent="0.2">
      <c r="A10" s="67">
        <v>7</v>
      </c>
      <c r="B10" s="88">
        <f>'2012-14 days Climb Stats'!C9</f>
        <v>41162</v>
      </c>
      <c r="C10" s="88" t="str">
        <f t="shared" si="0"/>
        <v>Mon</v>
      </c>
      <c r="D10" t="s">
        <v>71</v>
      </c>
      <c r="P10" s="67">
        <v>6</v>
      </c>
    </row>
    <row r="11" spans="1:16" x14ac:dyDescent="0.2">
      <c r="A11" s="67">
        <v>8</v>
      </c>
      <c r="B11" s="88">
        <f>'2012-14 days Climb Stats'!C11</f>
        <v>41163</v>
      </c>
      <c r="C11" s="88" t="str">
        <f t="shared" si="0"/>
        <v>Tue</v>
      </c>
      <c r="D11" t="s">
        <v>71</v>
      </c>
      <c r="P11" s="67">
        <v>7</v>
      </c>
    </row>
    <row r="12" spans="1:16" x14ac:dyDescent="0.2">
      <c r="A12" s="67">
        <v>9</v>
      </c>
      <c r="B12" s="88">
        <f>'2012-14 days Climb Stats'!C12</f>
        <v>41164</v>
      </c>
      <c r="C12" s="88" t="str">
        <f t="shared" si="0"/>
        <v>Wed</v>
      </c>
      <c r="D12" t="s">
        <v>71</v>
      </c>
      <c r="P12" s="67">
        <v>8</v>
      </c>
    </row>
    <row r="13" spans="1:16" x14ac:dyDescent="0.2">
      <c r="A13" s="67">
        <v>10</v>
      </c>
      <c r="B13" s="88">
        <f>'2012-14 days Climb Stats'!C13</f>
        <v>41165</v>
      </c>
      <c r="C13" s="88" t="str">
        <f t="shared" si="0"/>
        <v>Thu</v>
      </c>
      <c r="D13" t="s">
        <v>71</v>
      </c>
      <c r="P13" s="67">
        <v>9</v>
      </c>
    </row>
    <row r="14" spans="1:16" x14ac:dyDescent="0.2">
      <c r="A14" s="67">
        <v>11</v>
      </c>
      <c r="B14" s="88">
        <f>'2012-14 days Climb Stats'!C15</f>
        <v>41166</v>
      </c>
      <c r="C14" s="88" t="str">
        <f t="shared" si="0"/>
        <v>Fri</v>
      </c>
      <c r="D14" t="s">
        <v>71</v>
      </c>
      <c r="P14" s="67">
        <v>10</v>
      </c>
    </row>
    <row r="15" spans="1:16" x14ac:dyDescent="0.2">
      <c r="A15" s="67">
        <v>12</v>
      </c>
      <c r="B15" s="88">
        <f>'2012-14 days Climb Stats'!C16</f>
        <v>41167</v>
      </c>
      <c r="C15" s="88" t="str">
        <f t="shared" si="0"/>
        <v>Sat</v>
      </c>
      <c r="D15" t="s">
        <v>71</v>
      </c>
      <c r="P15" s="67">
        <v>11</v>
      </c>
    </row>
    <row r="16" spans="1:16" x14ac:dyDescent="0.2">
      <c r="A16" s="67">
        <v>13</v>
      </c>
      <c r="B16" s="88">
        <f>'2012-14 days Climb Stats'!C18</f>
        <v>41168</v>
      </c>
      <c r="C16" s="88" t="str">
        <f t="shared" si="0"/>
        <v>Sun</v>
      </c>
      <c r="D16" t="s">
        <v>71</v>
      </c>
      <c r="P16" s="67">
        <v>12</v>
      </c>
    </row>
    <row r="17" spans="1:16" x14ac:dyDescent="0.2">
      <c r="A17" s="67">
        <v>14</v>
      </c>
      <c r="B17" s="88">
        <f>'2012-14 days Climb Stats'!C19</f>
        <v>41169</v>
      </c>
      <c r="C17" s="88" t="str">
        <f t="shared" si="0"/>
        <v>Mon</v>
      </c>
      <c r="D17" t="s">
        <v>71</v>
      </c>
      <c r="P17" s="67">
        <v>13</v>
      </c>
    </row>
    <row r="18" spans="1:16" x14ac:dyDescent="0.2">
      <c r="A18" s="67">
        <v>15</v>
      </c>
      <c r="B18" s="88">
        <f>'2012-14 days Climb Stats'!C20</f>
        <v>41170</v>
      </c>
      <c r="C18" s="88" t="str">
        <f t="shared" si="0"/>
        <v>Tue</v>
      </c>
      <c r="D18" t="s">
        <v>71</v>
      </c>
      <c r="P18" s="67">
        <v>14</v>
      </c>
    </row>
    <row r="19" spans="1:16" x14ac:dyDescent="0.2">
      <c r="A19" s="67">
        <v>16</v>
      </c>
      <c r="B19" s="88">
        <f>B18+1</f>
        <v>41171</v>
      </c>
      <c r="C19" s="88" t="str">
        <f t="shared" si="0"/>
        <v>Wed</v>
      </c>
      <c r="D19" t="s">
        <v>72</v>
      </c>
      <c r="K19">
        <v>1</v>
      </c>
    </row>
    <row r="20" spans="1:16" x14ac:dyDescent="0.2">
      <c r="A20" s="67">
        <v>17</v>
      </c>
      <c r="B20" s="88">
        <f>B19+1</f>
        <v>41172</v>
      </c>
      <c r="C20" s="88" t="str">
        <f t="shared" si="0"/>
        <v>Thu</v>
      </c>
      <c r="D20" t="s">
        <v>73</v>
      </c>
      <c r="K20">
        <v>1</v>
      </c>
    </row>
    <row r="21" spans="1:16" x14ac:dyDescent="0.2">
      <c r="A21" s="67">
        <v>18</v>
      </c>
      <c r="B21" s="88">
        <f>B20+1</f>
        <v>41173</v>
      </c>
      <c r="C21" s="88" t="str">
        <f t="shared" si="0"/>
        <v>Fri</v>
      </c>
      <c r="D21" t="s">
        <v>74</v>
      </c>
      <c r="K21">
        <v>2</v>
      </c>
    </row>
    <row r="22" spans="1:16" x14ac:dyDescent="0.2">
      <c r="A22" s="67">
        <v>19</v>
      </c>
      <c r="B22" s="88">
        <f>B21+1</f>
        <v>41174</v>
      </c>
      <c r="C22" s="88" t="str">
        <f t="shared" si="0"/>
        <v>Sat</v>
      </c>
      <c r="D22" t="s">
        <v>75</v>
      </c>
    </row>
    <row r="23" spans="1:16" x14ac:dyDescent="0.2">
      <c r="B23" s="88" t="s">
        <v>46</v>
      </c>
      <c r="C23" s="88" t="s">
        <v>46</v>
      </c>
    </row>
    <row r="24" spans="1:16" x14ac:dyDescent="0.2">
      <c r="B24" s="88" t="s">
        <v>46</v>
      </c>
      <c r="C24" s="88" t="s">
        <v>46</v>
      </c>
    </row>
    <row r="25" spans="1:16" x14ac:dyDescent="0.2">
      <c r="B25" s="88" t="s">
        <v>46</v>
      </c>
      <c r="C25" s="88" t="s">
        <v>46</v>
      </c>
    </row>
    <row r="26" spans="1:16" x14ac:dyDescent="0.2">
      <c r="B26" s="88" t="s">
        <v>46</v>
      </c>
      <c r="C26" s="88" t="s">
        <v>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12" sqref="I12"/>
    </sheetView>
  </sheetViews>
  <sheetFormatPr defaultRowHeight="12.75" x14ac:dyDescent="0.2"/>
  <cols>
    <col min="1" max="1" width="135.5703125" customWidth="1"/>
    <col min="2" max="2" width="9.85546875" customWidth="1"/>
    <col min="3" max="3" width="9.28515625" customWidth="1"/>
    <col min="4" max="4" width="10.85546875" customWidth="1"/>
    <col min="5" max="5" width="9.42578125" customWidth="1"/>
    <col min="6" max="6" width="11" bestFit="1" customWidth="1"/>
    <col min="7" max="7" width="10" bestFit="1" customWidth="1"/>
    <col min="9" max="9" width="10" bestFit="1" customWidth="1"/>
  </cols>
  <sheetData>
    <row r="1" spans="1:9" ht="18" x14ac:dyDescent="0.25">
      <c r="A1" s="169" t="s">
        <v>149</v>
      </c>
    </row>
    <row r="2" spans="1:9" ht="15.75" x14ac:dyDescent="0.25">
      <c r="A2" s="81" t="s">
        <v>143</v>
      </c>
    </row>
    <row r="3" spans="1:9" ht="15.75" x14ac:dyDescent="0.25">
      <c r="A3" s="81"/>
    </row>
    <row r="4" spans="1:9" x14ac:dyDescent="0.2">
      <c r="A4" s="83" t="s">
        <v>66</v>
      </c>
      <c r="B4" s="84">
        <v>0.81</v>
      </c>
      <c r="F4" t="s">
        <v>46</v>
      </c>
    </row>
    <row r="5" spans="1:9" x14ac:dyDescent="0.2">
      <c r="B5" s="165" t="s">
        <v>64</v>
      </c>
      <c r="C5" s="166">
        <v>18</v>
      </c>
      <c r="D5" s="167" t="s">
        <v>65</v>
      </c>
      <c r="E5" s="168">
        <f>C5</f>
        <v>18</v>
      </c>
      <c r="F5" s="80" t="s">
        <v>65</v>
      </c>
    </row>
    <row r="6" spans="1:9" x14ac:dyDescent="0.2">
      <c r="A6" s="48" t="s">
        <v>150</v>
      </c>
      <c r="B6" s="153"/>
      <c r="C6" s="154"/>
      <c r="D6" s="162">
        <v>1928.77</v>
      </c>
      <c r="E6" s="160"/>
      <c r="F6" s="170">
        <f>D6</f>
        <v>1928.77</v>
      </c>
    </row>
    <row r="7" spans="1:9" x14ac:dyDescent="0.2">
      <c r="B7" s="153"/>
      <c r="C7" s="154"/>
      <c r="D7" s="159"/>
      <c r="E7" s="160"/>
    </row>
    <row r="8" spans="1:9" x14ac:dyDescent="0.2">
      <c r="A8" t="s">
        <v>145</v>
      </c>
      <c r="B8" s="155">
        <v>120</v>
      </c>
      <c r="C8" s="156">
        <f>B8</f>
        <v>120</v>
      </c>
      <c r="D8" s="162">
        <f>B8/B4</f>
        <v>148.14814814814815</v>
      </c>
      <c r="E8" s="161">
        <f>C8/$B$4</f>
        <v>148.14814814814815</v>
      </c>
      <c r="F8" s="79">
        <f>E8</f>
        <v>148.14814814814815</v>
      </c>
    </row>
    <row r="9" spans="1:9" x14ac:dyDescent="0.2">
      <c r="B9" s="153"/>
      <c r="C9" s="154"/>
      <c r="D9" s="159"/>
      <c r="E9" s="160"/>
    </row>
    <row r="10" spans="1:9" x14ac:dyDescent="0.2">
      <c r="A10" s="48" t="s">
        <v>148</v>
      </c>
      <c r="B10" s="155">
        <f>D10*B4</f>
        <v>1038.9465000000002</v>
      </c>
      <c r="C10" s="156">
        <f>B10/7</f>
        <v>148.42092857142862</v>
      </c>
      <c r="D10" s="162">
        <v>1282.6500000000001</v>
      </c>
      <c r="E10" s="161">
        <f>C10/B4</f>
        <v>183.23571428571432</v>
      </c>
      <c r="F10" s="171">
        <f>E10</f>
        <v>183.23571428571432</v>
      </c>
    </row>
    <row r="11" spans="1:9" x14ac:dyDescent="0.2">
      <c r="B11" s="153"/>
      <c r="C11" s="154"/>
      <c r="D11" s="159"/>
      <c r="E11" s="160"/>
    </row>
    <row r="12" spans="1:9" x14ac:dyDescent="0.2">
      <c r="A12" t="s">
        <v>151</v>
      </c>
      <c r="B12" s="155"/>
      <c r="C12" s="156">
        <f>27*16</f>
        <v>432</v>
      </c>
      <c r="D12" s="162"/>
      <c r="E12" s="161">
        <f>C12/B4</f>
        <v>533.33333333333326</v>
      </c>
      <c r="F12" s="79">
        <f>E12</f>
        <v>533.33333333333326</v>
      </c>
      <c r="G12" s="203">
        <v>16</v>
      </c>
      <c r="H12" s="204">
        <f>C12/G12</f>
        <v>27</v>
      </c>
      <c r="I12" s="119">
        <f>E12/G12</f>
        <v>33.333333333333329</v>
      </c>
    </row>
    <row r="13" spans="1:9" x14ac:dyDescent="0.2">
      <c r="B13" s="153"/>
      <c r="C13" s="154"/>
      <c r="D13" s="159"/>
      <c r="E13" s="160"/>
    </row>
    <row r="14" spans="1:9" x14ac:dyDescent="0.2">
      <c r="A14" s="152">
        <v>18</v>
      </c>
      <c r="B14" s="155"/>
      <c r="C14" s="156">
        <f>16*18</f>
        <v>288</v>
      </c>
      <c r="D14" s="159"/>
      <c r="E14" s="161">
        <f>C14/B4</f>
        <v>355.55555555555554</v>
      </c>
      <c r="F14" s="79">
        <f>E14</f>
        <v>355.55555555555554</v>
      </c>
    </row>
    <row r="15" spans="1:9" x14ac:dyDescent="0.2">
      <c r="B15" s="153"/>
      <c r="C15" s="154"/>
      <c r="D15" s="159"/>
      <c r="E15" s="160"/>
    </row>
    <row r="16" spans="1:9" x14ac:dyDescent="0.2">
      <c r="A16" t="s">
        <v>146</v>
      </c>
      <c r="B16" s="155">
        <v>30</v>
      </c>
      <c r="C16" s="156">
        <f>B16*C5</f>
        <v>540</v>
      </c>
      <c r="D16" s="162">
        <f>B16/B4</f>
        <v>37.037037037037038</v>
      </c>
      <c r="E16" s="161">
        <f>D16*C5</f>
        <v>666.66666666666674</v>
      </c>
      <c r="F16" s="79">
        <f>E16</f>
        <v>666.66666666666674</v>
      </c>
    </row>
    <row r="17" spans="1:6" x14ac:dyDescent="0.2">
      <c r="B17" s="153"/>
      <c r="C17" s="154"/>
      <c r="D17" s="159"/>
      <c r="E17" s="160"/>
    </row>
    <row r="18" spans="1:6" x14ac:dyDescent="0.2">
      <c r="A18" t="s">
        <v>67</v>
      </c>
      <c r="B18" s="157">
        <v>15</v>
      </c>
      <c r="C18" s="158">
        <f>B18*C5</f>
        <v>270</v>
      </c>
      <c r="D18" s="163">
        <f>B18/B4</f>
        <v>18.518518518518519</v>
      </c>
      <c r="E18" s="164">
        <f>D18*E5</f>
        <v>333.33333333333337</v>
      </c>
      <c r="F18" s="82">
        <f>E18</f>
        <v>333.33333333333337</v>
      </c>
    </row>
    <row r="20" spans="1:6" x14ac:dyDescent="0.2">
      <c r="F20" s="85">
        <f>SUM(F6:F18)</f>
        <v>4149.0427513227514</v>
      </c>
    </row>
    <row r="21" spans="1:6" x14ac:dyDescent="0.2">
      <c r="A21" t="s">
        <v>46</v>
      </c>
    </row>
    <row r="22" spans="1:6" x14ac:dyDescent="0.2">
      <c r="A22" t="s">
        <v>147</v>
      </c>
      <c r="E22" s="109" t="s">
        <v>144</v>
      </c>
      <c r="F22" s="79">
        <v>500</v>
      </c>
    </row>
    <row r="24" spans="1:6" x14ac:dyDescent="0.2">
      <c r="F24" s="85">
        <f>F20+F22</f>
        <v>4649.0427513227514</v>
      </c>
    </row>
  </sheetData>
  <hyperlinks>
    <hyperlink ref="F6" r:id="rId1" display="..\2013\2013_Flights\Jetabroad_flight_prices_to_Lyon_2.jpg"/>
    <hyperlink ref="A6" r:id="rId2"/>
    <hyperlink ref="F10" r:id="rId3" display="..\2013\CarRentals\RentalCars,com2013.jpg"/>
    <hyperlink ref="A10" r:id="rId4"/>
  </hyperlinks>
  <pageMargins left="0.7" right="0.7" top="0.75" bottom="0.75" header="0.3" footer="0.3"/>
  <pageSetup paperSize="9" orientation="portrait" horizontalDpi="0" verticalDpi="0" r:id="rId5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" workbookViewId="0">
      <selection activeCell="E30" sqref="E30"/>
    </sheetView>
  </sheetViews>
  <sheetFormatPr defaultRowHeight="12.75" x14ac:dyDescent="0.2"/>
  <cols>
    <col min="1" max="1" width="35.5703125" customWidth="1"/>
    <col min="2" max="2" width="8.42578125" style="2" customWidth="1"/>
    <col min="3" max="3" width="11.5703125" bestFit="1" customWidth="1"/>
    <col min="5" max="5" width="9.140625" style="2"/>
    <col min="6" max="6" width="8.7109375" customWidth="1"/>
  </cols>
  <sheetData>
    <row r="2" spans="1:14" ht="15" x14ac:dyDescent="0.25">
      <c r="A2" s="3"/>
      <c r="B2" s="4"/>
      <c r="C2" s="3"/>
      <c r="D2" s="3"/>
      <c r="E2" s="4"/>
      <c r="F2" s="5" t="s">
        <v>13</v>
      </c>
      <c r="G2" s="3"/>
      <c r="H2" s="3"/>
      <c r="I2" s="3"/>
      <c r="J2" s="3"/>
      <c r="K2" s="3"/>
      <c r="L2" s="3"/>
      <c r="M2" s="3"/>
      <c r="N2" s="3"/>
    </row>
    <row r="3" spans="1:14" ht="15" x14ac:dyDescent="0.25">
      <c r="A3" s="3"/>
      <c r="B3" s="4"/>
      <c r="C3" s="3"/>
      <c r="D3" s="3"/>
      <c r="E3" s="6" t="s">
        <v>13</v>
      </c>
      <c r="F3" s="7" t="s">
        <v>17</v>
      </c>
      <c r="G3" s="3"/>
      <c r="H3" s="3"/>
      <c r="I3" s="3"/>
      <c r="J3" s="3"/>
      <c r="K3" s="3"/>
      <c r="L3" s="3"/>
      <c r="M3" s="3"/>
      <c r="N3" s="3"/>
    </row>
    <row r="4" spans="1:14" ht="30" x14ac:dyDescent="0.2">
      <c r="A4" s="201" t="s">
        <v>13</v>
      </c>
      <c r="B4" s="8" t="s">
        <v>14</v>
      </c>
      <c r="C4" s="7" t="s">
        <v>34</v>
      </c>
      <c r="D4" s="7" t="s">
        <v>15</v>
      </c>
      <c r="E4" s="202" t="s">
        <v>33</v>
      </c>
      <c r="F4" s="7" t="s">
        <v>0</v>
      </c>
      <c r="G4" s="201" t="s">
        <v>18</v>
      </c>
      <c r="H4" s="7" t="s">
        <v>19</v>
      </c>
      <c r="I4" s="3"/>
      <c r="J4" s="3"/>
      <c r="K4" s="3"/>
      <c r="L4" s="3"/>
      <c r="M4" s="3"/>
      <c r="N4" s="3"/>
    </row>
    <row r="5" spans="1:14" ht="15" x14ac:dyDescent="0.25">
      <c r="A5" s="201"/>
      <c r="B5" s="8" t="s">
        <v>32</v>
      </c>
      <c r="C5" s="9">
        <v>0.30480000000000002</v>
      </c>
      <c r="D5" s="7" t="s">
        <v>16</v>
      </c>
      <c r="E5" s="202"/>
      <c r="F5" s="10">
        <v>0.62139999999999995</v>
      </c>
      <c r="G5" s="201"/>
      <c r="H5" s="7" t="s">
        <v>20</v>
      </c>
      <c r="I5" s="3"/>
      <c r="J5" s="3"/>
      <c r="K5" s="3"/>
      <c r="L5" s="3"/>
      <c r="M5" s="3"/>
      <c r="N5" s="3"/>
    </row>
    <row r="6" spans="1:14" ht="21" customHeight="1" x14ac:dyDescent="0.2">
      <c r="A6" s="11" t="s">
        <v>21</v>
      </c>
      <c r="B6" s="12">
        <v>6312</v>
      </c>
      <c r="C6" s="13">
        <f>B6*$C$5</f>
        <v>1923.8976</v>
      </c>
      <c r="D6" s="14">
        <v>5.5E-2</v>
      </c>
      <c r="E6" s="15">
        <v>21.7</v>
      </c>
      <c r="F6" s="13">
        <f>E6/$F$5</f>
        <v>34.921145799806887</v>
      </c>
      <c r="G6" s="16" t="s">
        <v>22</v>
      </c>
      <c r="H6" s="17">
        <v>184</v>
      </c>
      <c r="I6" s="3"/>
      <c r="J6" s="3"/>
      <c r="K6" s="3"/>
      <c r="L6" s="3"/>
      <c r="M6" s="3"/>
      <c r="N6" s="3"/>
    </row>
    <row r="7" spans="1:14" ht="27.75" customHeight="1" x14ac:dyDescent="0.2">
      <c r="A7" s="11" t="s">
        <v>23</v>
      </c>
      <c r="B7" s="12">
        <v>4829</v>
      </c>
      <c r="C7" s="13">
        <f t="shared" ref="C7:C15" si="0">B7*$C$5</f>
        <v>1471.8792000000001</v>
      </c>
      <c r="D7" s="14">
        <v>6.9000000000000006E-2</v>
      </c>
      <c r="E7" s="15">
        <v>13.2</v>
      </c>
      <c r="F7" s="13">
        <f t="shared" ref="F7:F15" si="1">E7/$F$5</f>
        <v>21.242355970389443</v>
      </c>
      <c r="G7" s="16" t="s">
        <v>22</v>
      </c>
      <c r="H7" s="17">
        <v>146</v>
      </c>
      <c r="I7" s="3"/>
      <c r="J7" s="3"/>
      <c r="K7" s="3"/>
      <c r="L7" s="3"/>
      <c r="M7" s="3"/>
      <c r="N7" s="3"/>
    </row>
    <row r="8" spans="1:14" ht="28.5" customHeight="1" x14ac:dyDescent="0.2">
      <c r="A8" s="11" t="s">
        <v>24</v>
      </c>
      <c r="B8" s="12">
        <v>4239</v>
      </c>
      <c r="C8" s="13">
        <f t="shared" si="0"/>
        <v>1292.0472</v>
      </c>
      <c r="D8" s="14">
        <v>4.7E-2</v>
      </c>
      <c r="E8" s="15">
        <v>17.100000000000001</v>
      </c>
      <c r="F8" s="13">
        <f t="shared" si="1"/>
        <v>27.51850659800451</v>
      </c>
      <c r="G8" s="16" t="s">
        <v>22</v>
      </c>
      <c r="H8" s="17">
        <v>144</v>
      </c>
      <c r="I8" s="3"/>
      <c r="J8" s="3"/>
      <c r="K8" s="3"/>
      <c r="L8" s="3"/>
      <c r="M8" s="3"/>
      <c r="N8" s="3"/>
    </row>
    <row r="9" spans="1:14" ht="26.25" customHeight="1" x14ac:dyDescent="0.2">
      <c r="A9" s="11" t="s">
        <v>25</v>
      </c>
      <c r="B9" s="12">
        <v>3514</v>
      </c>
      <c r="C9" s="13">
        <f t="shared" si="0"/>
        <v>1071.0672</v>
      </c>
      <c r="D9" s="14">
        <v>5.5E-2</v>
      </c>
      <c r="E9" s="15">
        <v>12.1</v>
      </c>
      <c r="F9" s="13">
        <f t="shared" si="1"/>
        <v>19.472159639523657</v>
      </c>
      <c r="G9" s="16" t="s">
        <v>22</v>
      </c>
      <c r="H9" s="17">
        <v>138</v>
      </c>
      <c r="I9" s="3"/>
      <c r="J9" s="3"/>
      <c r="K9" s="3"/>
      <c r="L9" s="3"/>
      <c r="M9" s="3"/>
      <c r="N9" s="3"/>
    </row>
    <row r="10" spans="1:14" ht="28.5" customHeight="1" x14ac:dyDescent="0.2">
      <c r="A10" s="11" t="s">
        <v>26</v>
      </c>
      <c r="B10" s="12">
        <v>4117</v>
      </c>
      <c r="C10" s="13">
        <f t="shared" si="0"/>
        <v>1254.8616</v>
      </c>
      <c r="D10" s="14">
        <v>6.9000000000000006E-2</v>
      </c>
      <c r="E10" s="15">
        <v>11.4</v>
      </c>
      <c r="F10" s="13">
        <f t="shared" si="1"/>
        <v>18.34567106533634</v>
      </c>
      <c r="G10" s="16" t="s">
        <v>22</v>
      </c>
      <c r="H10" s="17">
        <v>135</v>
      </c>
      <c r="I10" s="3"/>
      <c r="J10" s="3"/>
      <c r="K10" s="3"/>
      <c r="L10" s="3"/>
      <c r="M10" s="3"/>
      <c r="N10" s="3"/>
    </row>
    <row r="11" spans="1:14" ht="25.5" customHeight="1" x14ac:dyDescent="0.2">
      <c r="A11" s="11" t="s">
        <v>27</v>
      </c>
      <c r="B11" s="12">
        <v>3579</v>
      </c>
      <c r="C11" s="13">
        <f t="shared" si="0"/>
        <v>1090.8792000000001</v>
      </c>
      <c r="D11" s="14">
        <v>7.6999999999999999E-2</v>
      </c>
      <c r="E11" s="15">
        <v>8.8000000000000007</v>
      </c>
      <c r="F11" s="13">
        <f t="shared" si="1"/>
        <v>14.161570646926299</v>
      </c>
      <c r="G11" s="16" t="s">
        <v>22</v>
      </c>
      <c r="H11" s="17">
        <v>125</v>
      </c>
      <c r="I11" s="3"/>
      <c r="J11" s="3"/>
      <c r="K11" s="3"/>
      <c r="L11" s="3"/>
      <c r="M11" s="3"/>
      <c r="N11" s="3"/>
    </row>
    <row r="12" spans="1:14" ht="28.5" customHeight="1" x14ac:dyDescent="0.2">
      <c r="A12" s="11" t="s">
        <v>28</v>
      </c>
      <c r="B12" s="12">
        <v>3757</v>
      </c>
      <c r="C12" s="13">
        <f t="shared" si="0"/>
        <v>1145.1336000000001</v>
      </c>
      <c r="D12" s="14">
        <v>0.06</v>
      </c>
      <c r="E12" s="15">
        <v>11.9</v>
      </c>
      <c r="F12" s="13">
        <f t="shared" si="1"/>
        <v>19.150305761184423</v>
      </c>
      <c r="G12" s="16" t="s">
        <v>22</v>
      </c>
      <c r="H12" s="17">
        <v>103</v>
      </c>
      <c r="I12" s="3"/>
      <c r="J12" s="3"/>
      <c r="K12" s="3"/>
      <c r="L12" s="3"/>
      <c r="M12" s="3"/>
      <c r="N12" s="3"/>
    </row>
    <row r="13" spans="1:14" ht="26.25" customHeight="1" x14ac:dyDescent="0.2">
      <c r="A13" s="11" t="s">
        <v>29</v>
      </c>
      <c r="B13" s="12">
        <v>4157</v>
      </c>
      <c r="C13" s="13">
        <f t="shared" si="0"/>
        <v>1267.0536</v>
      </c>
      <c r="D13" s="14">
        <v>5.0999999999999997E-2</v>
      </c>
      <c r="E13" s="15">
        <v>15.5</v>
      </c>
      <c r="F13" s="13">
        <f t="shared" si="1"/>
        <v>24.943675571290637</v>
      </c>
      <c r="G13" s="16" t="s">
        <v>22</v>
      </c>
      <c r="H13" s="17">
        <v>102</v>
      </c>
      <c r="I13" s="3"/>
      <c r="J13" s="3"/>
      <c r="K13" s="3"/>
      <c r="L13" s="3"/>
      <c r="M13" s="3"/>
      <c r="N13" s="3"/>
    </row>
    <row r="14" spans="1:14" ht="25.5" customHeight="1" x14ac:dyDescent="0.2">
      <c r="A14" s="11" t="s">
        <v>30</v>
      </c>
      <c r="B14" s="12">
        <v>1322</v>
      </c>
      <c r="C14" s="13">
        <f t="shared" si="0"/>
        <v>402.94560000000001</v>
      </c>
      <c r="D14" s="14">
        <v>6.8000000000000005E-2</v>
      </c>
      <c r="E14" s="15">
        <v>3.7</v>
      </c>
      <c r="F14" s="13">
        <f t="shared" si="1"/>
        <v>5.9542967492758292</v>
      </c>
      <c r="G14" s="16" t="s">
        <v>22</v>
      </c>
      <c r="H14" s="17">
        <v>62</v>
      </c>
      <c r="I14" s="3"/>
      <c r="J14" s="3"/>
      <c r="K14" s="3"/>
      <c r="L14" s="3"/>
      <c r="M14" s="3"/>
      <c r="N14" s="3"/>
    </row>
    <row r="15" spans="1:14" ht="39" customHeight="1" x14ac:dyDescent="0.2">
      <c r="A15" s="11" t="s">
        <v>31</v>
      </c>
      <c r="B15" s="12">
        <v>1030</v>
      </c>
      <c r="C15" s="13">
        <f t="shared" si="0"/>
        <v>313.94400000000002</v>
      </c>
      <c r="D15" s="14">
        <v>7.8E-2</v>
      </c>
      <c r="E15" s="15">
        <v>2.5</v>
      </c>
      <c r="F15" s="13">
        <f t="shared" si="1"/>
        <v>4.023173479240425</v>
      </c>
      <c r="G15" s="16" t="s">
        <v>22</v>
      </c>
      <c r="H15" s="17">
        <v>60</v>
      </c>
      <c r="I15" s="3"/>
      <c r="J15" s="3"/>
      <c r="K15" s="3"/>
      <c r="L15" s="3"/>
      <c r="M15" s="3"/>
      <c r="N15" s="3"/>
    </row>
    <row r="16" spans="1:14" ht="14.25" x14ac:dyDescent="0.2">
      <c r="A16" s="3"/>
      <c r="B16" s="4"/>
      <c r="C16" s="3"/>
      <c r="D16" s="18"/>
      <c r="E16" s="19"/>
      <c r="F16" s="18"/>
      <c r="G16" s="20"/>
      <c r="H16" s="18"/>
      <c r="I16" s="3"/>
      <c r="J16" s="3"/>
      <c r="K16" s="3"/>
      <c r="L16" s="3"/>
      <c r="M16" s="3"/>
      <c r="N16" s="3"/>
    </row>
    <row r="17" spans="1:14" ht="14.25" x14ac:dyDescent="0.2">
      <c r="A17" s="3"/>
      <c r="B17" s="4"/>
      <c r="C17" s="3"/>
      <c r="D17" s="18"/>
      <c r="E17" s="19"/>
      <c r="F17" s="18"/>
      <c r="G17" s="18"/>
      <c r="H17" s="18"/>
      <c r="I17" s="3"/>
      <c r="J17" s="3"/>
      <c r="K17" s="3"/>
      <c r="L17" s="3"/>
      <c r="M17" s="3"/>
      <c r="N17" s="3"/>
    </row>
    <row r="18" spans="1:14" ht="14.25" x14ac:dyDescent="0.2">
      <c r="A18" s="3"/>
      <c r="B18" s="4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x14ac:dyDescent="0.2">
      <c r="A19" s="3"/>
      <c r="B19" s="4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x14ac:dyDescent="0.2">
      <c r="A20" s="3"/>
      <c r="B20" s="4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x14ac:dyDescent="0.2">
      <c r="A21" s="3"/>
      <c r="B21" s="4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x14ac:dyDescent="0.2">
      <c r="A22" s="3"/>
      <c r="B22" s="4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x14ac:dyDescent="0.2">
      <c r="A23" s="3"/>
      <c r="B23" s="4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x14ac:dyDescent="0.2">
      <c r="A24" s="3"/>
      <c r="B24" s="4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x14ac:dyDescent="0.2">
      <c r="A25" s="3"/>
      <c r="B25" s="4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</row>
    <row r="26" spans="1:14" ht="14.25" x14ac:dyDescent="0.2">
      <c r="A26" s="3"/>
      <c r="B26" s="4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</row>
    <row r="27" spans="1:14" ht="14.25" x14ac:dyDescent="0.2">
      <c r="A27" s="3"/>
      <c r="B27" s="4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</row>
    <row r="28" spans="1:14" ht="14.25" x14ac:dyDescent="0.2">
      <c r="A28" s="3"/>
      <c r="B28" s="4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</row>
    <row r="29" spans="1:14" ht="14.25" x14ac:dyDescent="0.2">
      <c r="A29" s="3"/>
      <c r="B29" s="4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</row>
  </sheetData>
  <mergeCells count="3">
    <mergeCell ref="A4:A5"/>
    <mergeCell ref="E4:E5"/>
    <mergeCell ref="G4:G5"/>
  </mergeCells>
  <hyperlinks>
    <hyperlink ref="G6" r:id="rId1" display="http://www.thomsonbiketours.com/profiles/profile.php?profile=galibc.gif"/>
    <hyperlink ref="G7" r:id="rId2" display="http://www.thomsonbiketours.com/profiles/profile.php?profile=glandonl1.gif"/>
    <hyperlink ref="G8" r:id="rId3" display="http://www.thomsonbiketours.com/profiles/profile.php?profile=croixdeferb1.gif"/>
    <hyperlink ref="G9" r:id="rId4" display="http://www.thomsonbiketours.com/profiles/profile.php?profile=sarenne.gif"/>
    <hyperlink ref="G10" r:id="rId5" display="http://www.thomsonbiketours.com/profiles/profile.php?profile=grand_colombier.gif"/>
    <hyperlink ref="G11" r:id="rId6" display="http://www.thomsonbiketours.com/profiles/profile.php?profile=huezb.gif"/>
    <hyperlink ref="G12" r:id="rId7" display="http://www.thomsonbiketours.com/profiles/profile.php?profile=toussi1.gif"/>
    <hyperlink ref="G13" r:id="rId8" display="http://www.thomsonbiketours.com/profiles/profile.php?profile=revard.gif"/>
    <hyperlink ref="G14" r:id="rId9" display="http://www.thomsonbiketours.com/profiles/profile.php?profile=mollard1.gif"/>
    <hyperlink ref="G15" r:id="rId10" display="http://www.thomsonbiketours.com/profiles/profile.php?profile=cucheron.gif"/>
  </hyperlinks>
  <pageMargins left="0.7" right="0.7" top="0.75" bottom="0.75" header="0.3" footer="0.3"/>
  <pageSetup paperSize="9" orientation="portrait" horizontalDpi="0" verticalDpi="0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118</v>
      </c>
    </row>
    <row r="3" spans="1:15" x14ac:dyDescent="0.2">
      <c r="B3" t="s">
        <v>119</v>
      </c>
      <c r="C3" t="s">
        <v>128</v>
      </c>
      <c r="D3" t="s">
        <v>127</v>
      </c>
      <c r="E3" t="s">
        <v>120</v>
      </c>
      <c r="F3" t="s">
        <v>121</v>
      </c>
      <c r="G3" t="s">
        <v>126</v>
      </c>
      <c r="H3" t="s">
        <v>129</v>
      </c>
      <c r="J3" t="s">
        <v>122</v>
      </c>
      <c r="K3" t="s">
        <v>123</v>
      </c>
      <c r="L3" t="s">
        <v>124</v>
      </c>
      <c r="M3" t="s">
        <v>125</v>
      </c>
    </row>
    <row r="5" spans="1:15" x14ac:dyDescent="0.2">
      <c r="A5">
        <v>1</v>
      </c>
      <c r="B5" t="s">
        <v>114</v>
      </c>
      <c r="D5" s="141">
        <v>80</v>
      </c>
      <c r="E5" s="141">
        <v>80</v>
      </c>
      <c r="F5" s="141"/>
      <c r="G5" s="141"/>
      <c r="H5" s="141"/>
      <c r="I5" s="141"/>
      <c r="J5" s="141">
        <f>-D5/3*2</f>
        <v>-53.333333333333336</v>
      </c>
      <c r="K5" s="141">
        <f>E5/3</f>
        <v>26.666666666666668</v>
      </c>
      <c r="L5" s="141">
        <f>E5/3</f>
        <v>26.666666666666668</v>
      </c>
      <c r="M5" s="141"/>
    </row>
    <row r="6" spans="1:15" x14ac:dyDescent="0.2">
      <c r="D6" s="141"/>
      <c r="E6" s="141"/>
      <c r="F6" s="141"/>
      <c r="G6" s="141"/>
      <c r="H6" s="141"/>
      <c r="I6" s="141"/>
      <c r="K6" s="107"/>
    </row>
    <row r="7" spans="1:15" x14ac:dyDescent="0.2">
      <c r="A7">
        <v>2</v>
      </c>
      <c r="B7" t="s">
        <v>115</v>
      </c>
      <c r="C7">
        <v>222</v>
      </c>
      <c r="D7" s="141">
        <v>283.51</v>
      </c>
      <c r="E7" s="141"/>
      <c r="F7" s="141">
        <f>D7</f>
        <v>283.51</v>
      </c>
      <c r="G7" s="141"/>
      <c r="H7" s="141"/>
      <c r="I7" s="141"/>
      <c r="J7" s="141">
        <f>D7/4</f>
        <v>70.877499999999998</v>
      </c>
      <c r="K7" s="141">
        <f>-D7/4*3</f>
        <v>-212.63249999999999</v>
      </c>
      <c r="L7" s="141">
        <f>D7/4</f>
        <v>70.877499999999998</v>
      </c>
      <c r="M7" s="141">
        <f>D7/4</f>
        <v>70.877499999999998</v>
      </c>
    </row>
    <row r="8" spans="1:15" x14ac:dyDescent="0.2"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5" x14ac:dyDescent="0.2">
      <c r="A9">
        <v>3</v>
      </c>
      <c r="B9" t="s">
        <v>116</v>
      </c>
      <c r="C9">
        <v>423.32</v>
      </c>
      <c r="D9" s="141">
        <f>C9/B1</f>
        <v>510.02409638554218</v>
      </c>
      <c r="E9" s="141"/>
      <c r="F9" s="141">
        <f>135.8/B1</f>
        <v>163.61445783132532</v>
      </c>
      <c r="G9" s="141">
        <f>287.52/B1</f>
        <v>346.40963855421688</v>
      </c>
      <c r="H9" s="141"/>
      <c r="I9" s="144">
        <f>F9+G9</f>
        <v>510.02409638554218</v>
      </c>
      <c r="J9" s="141">
        <f>D9/21*6</f>
        <v>145.72117039586919</v>
      </c>
      <c r="K9" s="141">
        <f>D9/21*6-F9</f>
        <v>-17.893287435456131</v>
      </c>
      <c r="L9" s="141">
        <f>D9/21*6-G9</f>
        <v>-200.68846815834769</v>
      </c>
      <c r="M9" s="141">
        <f>D9/21*3</f>
        <v>72.860585197934597</v>
      </c>
      <c r="N9" s="101"/>
      <c r="O9" s="140"/>
    </row>
    <row r="10" spans="1:15" x14ac:dyDescent="0.2"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5" x14ac:dyDescent="0.2">
      <c r="A11">
        <v>4</v>
      </c>
      <c r="B11" t="s">
        <v>138</v>
      </c>
      <c r="C11">
        <v>65.02</v>
      </c>
      <c r="D11" s="141">
        <f>C11/B1</f>
        <v>78.337349397590359</v>
      </c>
      <c r="E11" s="141"/>
      <c r="F11" s="141"/>
      <c r="G11" s="141">
        <f>D11</f>
        <v>78.337349397590359</v>
      </c>
      <c r="J11" s="141">
        <f>D11/4</f>
        <v>19.58433734939759</v>
      </c>
      <c r="K11" s="141">
        <f>D11/4</f>
        <v>19.58433734939759</v>
      </c>
      <c r="L11" s="141">
        <f>-D11/4*3</f>
        <v>-58.753012048192772</v>
      </c>
      <c r="M11" s="141">
        <f>D11/4</f>
        <v>19.58433734939759</v>
      </c>
    </row>
    <row r="12" spans="1:15" x14ac:dyDescent="0.2"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5" x14ac:dyDescent="0.2">
      <c r="A13">
        <v>5</v>
      </c>
      <c r="B13" t="s">
        <v>139</v>
      </c>
      <c r="C13" s="146">
        <v>44.7</v>
      </c>
      <c r="D13" s="141">
        <v>55.45</v>
      </c>
      <c r="E13" s="141">
        <f>D13</f>
        <v>55.45</v>
      </c>
      <c r="F13" s="141"/>
      <c r="G13" s="141"/>
      <c r="H13" s="141"/>
      <c r="I13" s="141"/>
      <c r="J13" s="141">
        <f>-D13/3*2</f>
        <v>-36.966666666666669</v>
      </c>
      <c r="K13" s="141">
        <f>E13/3</f>
        <v>18.483333333333334</v>
      </c>
      <c r="L13" s="141">
        <f>E13/3</f>
        <v>18.483333333333334</v>
      </c>
      <c r="M13" s="141"/>
    </row>
    <row r="14" spans="1:15" x14ac:dyDescent="0.2"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5" x14ac:dyDescent="0.2">
      <c r="A15">
        <v>6</v>
      </c>
      <c r="B15" t="s">
        <v>141</v>
      </c>
      <c r="D15" s="141">
        <f>'Rental car contributions'!A3</f>
        <v>783.93000000000006</v>
      </c>
      <c r="E15" s="141">
        <f>D15</f>
        <v>783.93000000000006</v>
      </c>
      <c r="F15" s="141"/>
      <c r="G15" s="141"/>
      <c r="H15" s="141"/>
      <c r="I15" s="141"/>
      <c r="J15" s="141">
        <f>E15*15/55-E15</f>
        <v>-570.1309090909092</v>
      </c>
      <c r="K15" s="141">
        <f>E15/55*15</f>
        <v>213.79909090909092</v>
      </c>
      <c r="L15" s="141">
        <f>E15/55*15</f>
        <v>213.79909090909092</v>
      </c>
      <c r="M15" s="141">
        <f>D15/55*10</f>
        <v>142.53272727272727</v>
      </c>
    </row>
    <row r="16" spans="1:15" x14ac:dyDescent="0.2">
      <c r="D16" s="141"/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4" x14ac:dyDescent="0.2">
      <c r="A17">
        <v>7</v>
      </c>
      <c r="B17" t="s">
        <v>142</v>
      </c>
      <c r="C17">
        <v>62</v>
      </c>
      <c r="D17" s="141"/>
      <c r="E17" s="141">
        <v>76.38</v>
      </c>
      <c r="F17" s="141"/>
      <c r="G17" s="141"/>
      <c r="H17" s="141"/>
      <c r="I17" s="141"/>
      <c r="J17" s="141">
        <f>-E17/3*2</f>
        <v>-50.919999999999995</v>
      </c>
      <c r="K17" s="141">
        <f>E17/3</f>
        <v>25.459999999999997</v>
      </c>
      <c r="L17" s="141">
        <v>0</v>
      </c>
      <c r="M17" s="141">
        <f>E17/3</f>
        <v>25.459999999999997</v>
      </c>
    </row>
    <row r="18" spans="1:14" x14ac:dyDescent="0.2">
      <c r="D18" s="141"/>
      <c r="E18" s="141"/>
      <c r="F18" s="141"/>
      <c r="G18" s="141"/>
      <c r="H18" s="141"/>
      <c r="I18" s="141"/>
      <c r="J18" s="141"/>
      <c r="K18" s="141"/>
      <c r="L18" s="141"/>
      <c r="M18" s="141"/>
    </row>
    <row r="19" spans="1:14" x14ac:dyDescent="0.2">
      <c r="A19">
        <v>8</v>
      </c>
      <c r="B19" t="s">
        <v>131</v>
      </c>
      <c r="C19">
        <f>(15*2)+10+10+10+12</f>
        <v>72</v>
      </c>
      <c r="D19" s="141"/>
      <c r="E19" s="141">
        <f>C19</f>
        <v>72</v>
      </c>
      <c r="F19" s="141"/>
      <c r="G19" s="141"/>
      <c r="H19" s="141"/>
      <c r="I19" s="141"/>
      <c r="J19" s="141">
        <f>-E19/3*2</f>
        <v>-48</v>
      </c>
      <c r="K19" s="141">
        <f>E19/3</f>
        <v>24</v>
      </c>
      <c r="L19" s="141">
        <f>E19/3</f>
        <v>24</v>
      </c>
      <c r="M19" s="141"/>
    </row>
    <row r="20" spans="1:14" x14ac:dyDescent="0.2">
      <c r="D20" s="141"/>
      <c r="E20" s="141"/>
      <c r="F20" s="141"/>
      <c r="G20" s="141"/>
      <c r="H20" s="141"/>
      <c r="I20" s="141"/>
      <c r="J20" s="141"/>
      <c r="K20" s="141"/>
      <c r="L20" s="141"/>
      <c r="M20" s="141"/>
    </row>
    <row r="21" spans="1:14" x14ac:dyDescent="0.2">
      <c r="A21">
        <v>9</v>
      </c>
      <c r="B21" t="s">
        <v>132</v>
      </c>
      <c r="C21" s="83">
        <v>390</v>
      </c>
      <c r="D21" s="141">
        <f>C21/B1</f>
        <v>469.87951807228916</v>
      </c>
      <c r="F21" s="141"/>
      <c r="G21" s="141">
        <f>D21</f>
        <v>469.87951807228916</v>
      </c>
      <c r="H21" s="141"/>
      <c r="I21" s="141"/>
      <c r="J21" s="141">
        <f>G21/3</f>
        <v>156.62650602409639</v>
      </c>
      <c r="K21" s="141">
        <f>G21/3</f>
        <v>156.62650602409639</v>
      </c>
      <c r="L21" s="141">
        <f>(D21/3)-G21</f>
        <v>-313.25301204819277</v>
      </c>
    </row>
    <row r="22" spans="1:14" x14ac:dyDescent="0.2">
      <c r="D22" s="141"/>
      <c r="F22" s="141"/>
      <c r="G22" s="141"/>
      <c r="H22" s="141"/>
      <c r="I22" s="141"/>
      <c r="J22" s="141"/>
      <c r="K22" s="141"/>
      <c r="L22" s="141"/>
    </row>
    <row r="23" spans="1:14" x14ac:dyDescent="0.2">
      <c r="A23">
        <v>10</v>
      </c>
      <c r="B23" t="s">
        <v>133</v>
      </c>
      <c r="C23" s="145">
        <v>161.82</v>
      </c>
      <c r="D23" s="141">
        <v>201.7</v>
      </c>
      <c r="F23" s="141">
        <f>D23</f>
        <v>201.7</v>
      </c>
      <c r="G23" s="141"/>
      <c r="H23" s="141"/>
      <c r="I23" s="141"/>
      <c r="J23" s="141">
        <f>F23/3</f>
        <v>67.233333333333334</v>
      </c>
      <c r="K23" s="141">
        <f>(F23/3)-F23</f>
        <v>-134.46666666666664</v>
      </c>
      <c r="L23" s="141">
        <f>F23/3</f>
        <v>67.233333333333334</v>
      </c>
    </row>
    <row r="24" spans="1:14" x14ac:dyDescent="0.2">
      <c r="D24" s="141"/>
      <c r="E24" s="141" t="s">
        <v>46</v>
      </c>
      <c r="F24" s="141"/>
      <c r="G24" s="141"/>
      <c r="H24" s="141"/>
      <c r="I24" s="141"/>
      <c r="J24" s="141"/>
      <c r="K24" s="141"/>
      <c r="L24" s="141"/>
      <c r="M24" s="141"/>
    </row>
    <row r="25" spans="1:14" x14ac:dyDescent="0.2">
      <c r="A25">
        <v>11</v>
      </c>
      <c r="B25" t="s">
        <v>137</v>
      </c>
      <c r="C25">
        <v>265.12</v>
      </c>
      <c r="D25" s="141">
        <v>331.36</v>
      </c>
      <c r="E25" s="141"/>
      <c r="F25" s="141">
        <f>D25</f>
        <v>331.36</v>
      </c>
      <c r="G25" s="141"/>
      <c r="H25" s="141"/>
      <c r="I25" s="141"/>
      <c r="J25" s="141">
        <f>F25/2</f>
        <v>165.68</v>
      </c>
      <c r="K25" s="141">
        <f>(F25/2)-F25</f>
        <v>-165.68</v>
      </c>
      <c r="L25" s="141"/>
      <c r="M25" s="141"/>
    </row>
    <row r="26" spans="1:14" x14ac:dyDescent="0.2"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  <row r="27" spans="1:14" ht="13.5" thickBot="1" x14ac:dyDescent="0.25">
      <c r="A27" t="s">
        <v>130</v>
      </c>
      <c r="E27" t="s">
        <v>46</v>
      </c>
      <c r="J27" s="151">
        <f>SUM(J5:J24)</f>
        <v>-299.30806198821261</v>
      </c>
      <c r="K27" s="151">
        <f>SUM(K5:K24)</f>
        <v>119.6274801804621</v>
      </c>
      <c r="L27" s="151">
        <f>SUM(L5:L24)</f>
        <v>-151.63456801230893</v>
      </c>
      <c r="M27" s="151">
        <f>SUM(M5:M24)</f>
        <v>331.31514982005945</v>
      </c>
      <c r="N27" s="141">
        <f>SUM(J27:M27)</f>
        <v>0</v>
      </c>
    </row>
    <row r="28" spans="1:14" ht="13.5" thickTop="1" x14ac:dyDescent="0.2"/>
    <row r="29" spans="1:14" x14ac:dyDescent="0.2">
      <c r="H29" s="147" t="s">
        <v>134</v>
      </c>
      <c r="I29" s="147"/>
      <c r="J29" s="148">
        <f>-(M27+J27)</f>
        <v>-32.007087831846832</v>
      </c>
      <c r="K29" s="147"/>
      <c r="L29" s="148">
        <f>M27+J27</f>
        <v>32.007087831846832</v>
      </c>
      <c r="M29" s="148">
        <f>-M27</f>
        <v>-331.31514982005945</v>
      </c>
      <c r="N29" s="147"/>
    </row>
    <row r="30" spans="1:14" x14ac:dyDescent="0.2">
      <c r="H30" s="147" t="s">
        <v>135</v>
      </c>
      <c r="I30" s="147"/>
      <c r="J30" s="147"/>
      <c r="K30" s="147"/>
      <c r="L30" s="148">
        <f>-K27</f>
        <v>-119.6274801804621</v>
      </c>
      <c r="M30" s="147"/>
      <c r="N30" s="147"/>
    </row>
    <row r="31" spans="1:14" x14ac:dyDescent="0.2">
      <c r="H31" s="147" t="s">
        <v>136</v>
      </c>
      <c r="I31" s="147"/>
      <c r="J31" s="147"/>
      <c r="K31" s="148">
        <f>K27</f>
        <v>119.6274801804621</v>
      </c>
      <c r="L31" s="147"/>
      <c r="M31" s="147"/>
      <c r="N31" s="147"/>
    </row>
    <row r="32" spans="1:14" x14ac:dyDescent="0.2">
      <c r="H32" s="147" t="s">
        <v>117</v>
      </c>
      <c r="I32" s="147"/>
      <c r="J32" s="149">
        <f>M27</f>
        <v>331.31514982005945</v>
      </c>
      <c r="K32" s="150"/>
      <c r="L32" s="150"/>
      <c r="M32" s="150"/>
      <c r="N32" s="150"/>
    </row>
    <row r="33" spans="8:14" x14ac:dyDescent="0.2">
      <c r="H33" s="147"/>
      <c r="I33" s="147"/>
      <c r="J33" s="148">
        <f>SUM(J29:J32)</f>
        <v>299.30806198821261</v>
      </c>
      <c r="K33" s="148">
        <f>SUM(K29:K32)</f>
        <v>119.6274801804621</v>
      </c>
      <c r="L33" s="148">
        <f>SUM(L29:L32)</f>
        <v>-87.620392348615269</v>
      </c>
      <c r="M33" s="148">
        <f>SUM(M29:M32)</f>
        <v>-331.31514982005945</v>
      </c>
      <c r="N33" s="148">
        <f>SUM(J33:M33)</f>
        <v>0</v>
      </c>
    </row>
    <row r="36" spans="8:14" x14ac:dyDescent="0.2">
      <c r="J36" s="142">
        <f>325.74+J27</f>
        <v>26.431938011787395</v>
      </c>
      <c r="K36" s="142">
        <f>K27</f>
        <v>119.6274801804621</v>
      </c>
      <c r="L36" s="142">
        <f>L27</f>
        <v>-151.63456801230893</v>
      </c>
      <c r="M36" s="142">
        <f>M27-325.74</f>
        <v>5.5751498200594369</v>
      </c>
      <c r="N36" s="141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1" sqref="A11"/>
    </sheetView>
  </sheetViews>
  <sheetFormatPr defaultRowHeight="12.75" x14ac:dyDescent="0.2"/>
  <sheetData>
    <row r="1" spans="1:9" x14ac:dyDescent="0.2">
      <c r="A1" s="126">
        <v>686.5</v>
      </c>
      <c r="B1">
        <f>(D1*3)+D2</f>
        <v>55</v>
      </c>
      <c r="C1" s="126">
        <f>A1/B1</f>
        <v>12.481818181818182</v>
      </c>
      <c r="D1">
        <v>15</v>
      </c>
      <c r="E1" s="127">
        <f>G1/A1</f>
        <v>0.22694214876033061</v>
      </c>
      <c r="F1" s="128">
        <f>E1*H1</f>
        <v>0.68082644628099187</v>
      </c>
      <c r="G1" s="129">
        <f>C1*C1</f>
        <v>155.79578512396697</v>
      </c>
      <c r="H1" s="128">
        <v>3</v>
      </c>
      <c r="I1" s="129">
        <f>G1*H1</f>
        <v>467.38735537190087</v>
      </c>
    </row>
    <row r="2" spans="1:9" ht="17.25" x14ac:dyDescent="0.4">
      <c r="A2" s="139">
        <f>D10</f>
        <v>97.43</v>
      </c>
      <c r="D2">
        <v>10</v>
      </c>
      <c r="E2" s="127">
        <f>G2/A1</f>
        <v>0.18181818181818182</v>
      </c>
      <c r="F2" s="128">
        <f>E2*H2</f>
        <v>0.18181818181818182</v>
      </c>
      <c r="G2" s="129">
        <f>C1*D2</f>
        <v>124.81818181818183</v>
      </c>
      <c r="H2" s="128">
        <v>1</v>
      </c>
      <c r="I2" s="130">
        <f>G2*H2</f>
        <v>124.81818181818183</v>
      </c>
    </row>
    <row r="3" spans="1:9" x14ac:dyDescent="0.2">
      <c r="A3" s="135">
        <f>A1+A2</f>
        <v>783.93000000000006</v>
      </c>
      <c r="E3" s="128"/>
      <c r="F3" s="131">
        <f>SUM(F1:F2)</f>
        <v>0.86264462809917375</v>
      </c>
      <c r="G3" s="128" t="s">
        <v>107</v>
      </c>
      <c r="H3" s="128"/>
      <c r="I3" s="132">
        <f>I1+I2</f>
        <v>592.20553719008274</v>
      </c>
    </row>
    <row r="5" spans="1:9" ht="15" x14ac:dyDescent="0.25">
      <c r="A5" s="83"/>
      <c r="B5" s="133" t="s">
        <v>108</v>
      </c>
      <c r="C5" s="134" t="s">
        <v>109</v>
      </c>
      <c r="D5" s="83"/>
      <c r="E5" s="83"/>
      <c r="F5" s="83"/>
    </row>
    <row r="6" spans="1:9" x14ac:dyDescent="0.2">
      <c r="A6" s="83" t="s">
        <v>110</v>
      </c>
      <c r="B6" s="135">
        <f>A1/B1</f>
        <v>12.481818181818182</v>
      </c>
      <c r="C6" s="136" t="s">
        <v>111</v>
      </c>
      <c r="D6" s="137">
        <f>(A3*D1)/B1</f>
        <v>213.79909090909092</v>
      </c>
      <c r="E6" s="83">
        <f>H1</f>
        <v>3</v>
      </c>
      <c r="F6" s="137">
        <f>D6*E6</f>
        <v>641.39727272727282</v>
      </c>
    </row>
    <row r="7" spans="1:9" ht="17.25" x14ac:dyDescent="0.4">
      <c r="A7" s="83" t="s">
        <v>112</v>
      </c>
      <c r="B7" s="135">
        <f>B6</f>
        <v>12.481818181818182</v>
      </c>
      <c r="C7" s="136" t="s">
        <v>113</v>
      </c>
      <c r="D7" s="137">
        <f>(A3*D2)/B1</f>
        <v>142.5327272727273</v>
      </c>
      <c r="E7" s="83">
        <f>H2</f>
        <v>1</v>
      </c>
      <c r="F7" s="138">
        <f>D7*E7</f>
        <v>142.5327272727273</v>
      </c>
    </row>
    <row r="8" spans="1:9" x14ac:dyDescent="0.2">
      <c r="A8" s="83"/>
      <c r="B8" s="83"/>
      <c r="C8" s="83"/>
      <c r="D8" s="83"/>
      <c r="E8" s="83"/>
      <c r="F8" s="137">
        <f>SUM(F6:F7)</f>
        <v>783.93000000000006</v>
      </c>
    </row>
    <row r="10" spans="1:9" x14ac:dyDescent="0.2">
      <c r="A10" t="s">
        <v>140</v>
      </c>
      <c r="D10" s="126">
        <v>97.43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workbookViewId="0">
      <selection activeCell="A12" sqref="A12"/>
    </sheetView>
  </sheetViews>
  <sheetFormatPr defaultRowHeight="12.75" x14ac:dyDescent="0.2"/>
  <cols>
    <col min="2" max="2" width="18.5703125" customWidth="1"/>
    <col min="3" max="3" width="10.140625" bestFit="1" customWidth="1"/>
    <col min="4" max="4" width="5" customWidth="1"/>
    <col min="5" max="5" width="10.140625" bestFit="1" customWidth="1"/>
    <col min="6" max="6" width="4.5703125" customWidth="1"/>
    <col min="7" max="7" width="3" style="67" customWidth="1"/>
    <col min="8" max="8" width="9.7109375" customWidth="1"/>
    <col min="10" max="10" width="11.28515625" customWidth="1"/>
    <col min="12" max="12" width="6.140625" customWidth="1"/>
    <col min="13" max="13" width="11.28515625" customWidth="1"/>
    <col min="15" max="15" width="11" bestFit="1" customWidth="1"/>
  </cols>
  <sheetData>
    <row r="2" spans="1:13" ht="15.75" x14ac:dyDescent="0.25">
      <c r="A2" s="81" t="s">
        <v>93</v>
      </c>
    </row>
    <row r="3" spans="1:13" x14ac:dyDescent="0.2">
      <c r="A3" s="112" t="s">
        <v>94</v>
      </c>
    </row>
    <row r="5" spans="1:13" ht="25.5" customHeight="1" x14ac:dyDescent="0.2">
      <c r="A5" t="s">
        <v>95</v>
      </c>
      <c r="C5" s="109" t="str">
        <f>C14</f>
        <v>Arrive</v>
      </c>
      <c r="D5" s="109"/>
      <c r="E5" s="109" t="str">
        <f>E14</f>
        <v>Depart</v>
      </c>
      <c r="H5" s="114" t="s">
        <v>97</v>
      </c>
    </row>
    <row r="6" spans="1:13" x14ac:dyDescent="0.2">
      <c r="C6" s="113">
        <f>'2012 19 days-18 nights Schedule'!B5</f>
        <v>41157</v>
      </c>
      <c r="D6" s="111" t="str">
        <f>TEXT(C6,"ddd")</f>
        <v>Wed</v>
      </c>
      <c r="E6" s="113">
        <f>'2012 19 days-18 nights Schedule'!B10</f>
        <v>41162</v>
      </c>
      <c r="F6" s="111" t="str">
        <f>TEXT(E6,"ddd")</f>
        <v>Mon</v>
      </c>
      <c r="G6" s="67">
        <f>E6-C6</f>
        <v>5</v>
      </c>
      <c r="H6" s="78">
        <v>18</v>
      </c>
      <c r="I6">
        <v>1</v>
      </c>
      <c r="M6" s="77">
        <f>H6*G6*I6</f>
        <v>90</v>
      </c>
    </row>
    <row r="7" spans="1:13" s="122" customFormat="1" x14ac:dyDescent="0.2">
      <c r="C7" s="123"/>
      <c r="E7" s="123"/>
      <c r="G7" s="123">
        <v>5</v>
      </c>
      <c r="H7" s="124">
        <v>25</v>
      </c>
      <c r="I7" s="100">
        <v>1</v>
      </c>
      <c r="M7" s="121">
        <f>H7*G7*I7</f>
        <v>125</v>
      </c>
    </row>
    <row r="8" spans="1:13" x14ac:dyDescent="0.2">
      <c r="M8" s="77">
        <f>M7+M6</f>
        <v>215</v>
      </c>
    </row>
    <row r="9" spans="1:13" x14ac:dyDescent="0.2">
      <c r="M9" s="121">
        <v>7</v>
      </c>
    </row>
    <row r="10" spans="1:13" x14ac:dyDescent="0.2">
      <c r="M10" s="77">
        <f>M8+M9</f>
        <v>222</v>
      </c>
    </row>
    <row r="11" spans="1:13" x14ac:dyDescent="0.2">
      <c r="J11" s="119">
        <v>268.51</v>
      </c>
      <c r="K11">
        <v>0.82679999999999998</v>
      </c>
      <c r="M11" s="77">
        <f>J11*K11</f>
        <v>222.00406799999999</v>
      </c>
    </row>
    <row r="12" spans="1:13" ht="15.75" x14ac:dyDescent="0.25">
      <c r="A12" s="81" t="s">
        <v>87</v>
      </c>
    </row>
    <row r="13" spans="1:13" ht="15" x14ac:dyDescent="0.25">
      <c r="A13" s="108" t="s">
        <v>86</v>
      </c>
    </row>
    <row r="14" spans="1:13" ht="15" x14ac:dyDescent="0.25">
      <c r="A14" s="108"/>
      <c r="C14" s="109" t="s">
        <v>78</v>
      </c>
      <c r="D14" s="109"/>
      <c r="E14" s="109" t="s">
        <v>77</v>
      </c>
    </row>
    <row r="15" spans="1:13" x14ac:dyDescent="0.2">
      <c r="A15" t="s">
        <v>91</v>
      </c>
      <c r="C15" s="110">
        <f>'2012 19 days-18 nights Schedule'!B10</f>
        <v>41162</v>
      </c>
      <c r="D15" s="111" t="str">
        <f>TEXT(C15,"ddd")</f>
        <v>Mon</v>
      </c>
      <c r="E15" s="110">
        <f>'2012 19 days-18 nights Schedule'!B16</f>
        <v>41168</v>
      </c>
      <c r="F15" s="111" t="str">
        <f>TEXT(E15,"ddd")</f>
        <v>Sun</v>
      </c>
      <c r="G15" s="67">
        <f>E15-C15</f>
        <v>6</v>
      </c>
      <c r="H15" s="78">
        <v>50</v>
      </c>
      <c r="I15">
        <v>1</v>
      </c>
      <c r="J15" s="78">
        <f>G15*H15</f>
        <v>300</v>
      </c>
      <c r="L15">
        <v>0.78</v>
      </c>
      <c r="M15" s="119">
        <f>J15/$L$15</f>
        <v>384.61538461538458</v>
      </c>
    </row>
    <row r="16" spans="1:13" x14ac:dyDescent="0.2">
      <c r="A16" t="s">
        <v>88</v>
      </c>
      <c r="C16" s="123"/>
      <c r="E16" s="123"/>
      <c r="G16" s="67">
        <f>G15</f>
        <v>6</v>
      </c>
      <c r="I16">
        <v>2</v>
      </c>
      <c r="J16" s="109" t="s">
        <v>89</v>
      </c>
      <c r="M16" s="119"/>
    </row>
    <row r="17" spans="1:13" x14ac:dyDescent="0.2">
      <c r="A17" t="s">
        <v>90</v>
      </c>
      <c r="G17" s="67">
        <f>G16</f>
        <v>6</v>
      </c>
      <c r="I17">
        <v>1</v>
      </c>
      <c r="M17" s="119"/>
    </row>
    <row r="18" spans="1:13" x14ac:dyDescent="0.2">
      <c r="A18" t="s">
        <v>92</v>
      </c>
      <c r="G18" s="67">
        <f t="shared" ref="G18" si="0">G17</f>
        <v>6</v>
      </c>
      <c r="H18" s="78">
        <v>8</v>
      </c>
      <c r="I18">
        <v>2</v>
      </c>
      <c r="J18" s="78">
        <f>G18*H18*I18</f>
        <v>96</v>
      </c>
      <c r="M18" s="119">
        <f>J18/$L$15</f>
        <v>123.07692307692307</v>
      </c>
    </row>
    <row r="19" spans="1:13" x14ac:dyDescent="0.2">
      <c r="A19" t="s">
        <v>98</v>
      </c>
      <c r="G19" s="67">
        <f>G18</f>
        <v>6</v>
      </c>
      <c r="H19" s="77">
        <v>0.43</v>
      </c>
      <c r="I19">
        <v>4</v>
      </c>
      <c r="J19" s="77">
        <f>G20*H19*I19</f>
        <v>10.32</v>
      </c>
      <c r="M19" s="119">
        <f>J19/$L$15</f>
        <v>13.23076923076923</v>
      </c>
    </row>
    <row r="20" spans="1:13" x14ac:dyDescent="0.2">
      <c r="A20" t="s">
        <v>99</v>
      </c>
      <c r="G20" s="67">
        <f t="shared" ref="G20" si="1">G19</f>
        <v>6</v>
      </c>
      <c r="J20" s="118">
        <v>17</v>
      </c>
      <c r="M20" s="120">
        <f>J20/$L$15</f>
        <v>21.794871794871796</v>
      </c>
    </row>
    <row r="21" spans="1:13" x14ac:dyDescent="0.2">
      <c r="J21" s="77">
        <f>SUM(J15:J20)</f>
        <v>423.32</v>
      </c>
      <c r="M21" s="119">
        <f>SUM(M15:M20)</f>
        <v>542.71794871794873</v>
      </c>
    </row>
    <row r="23" spans="1:13" x14ac:dyDescent="0.2">
      <c r="I23" t="s">
        <v>101</v>
      </c>
      <c r="J23" s="77">
        <v>135.80000000000001</v>
      </c>
      <c r="K23" s="115">
        <f>J23/J21</f>
        <v>0.32079750543324204</v>
      </c>
      <c r="M23" s="119">
        <f>J23/$L$15</f>
        <v>174.10256410256412</v>
      </c>
    </row>
    <row r="24" spans="1:13" x14ac:dyDescent="0.2">
      <c r="I24" t="s">
        <v>100</v>
      </c>
      <c r="J24" s="121">
        <f>J21-J23</f>
        <v>287.52</v>
      </c>
      <c r="K24" s="117">
        <f>J24/J21</f>
        <v>0.67920249456675796</v>
      </c>
      <c r="M24" s="120">
        <f>J24/$L$15</f>
        <v>368.61538461538458</v>
      </c>
    </row>
    <row r="25" spans="1:13" x14ac:dyDescent="0.2">
      <c r="J25" s="77">
        <f>SUM(J23:J24)</f>
        <v>423.32</v>
      </c>
      <c r="K25" s="116">
        <f>SUM(K23:K24)</f>
        <v>1</v>
      </c>
      <c r="M25" s="119">
        <f>SUM(M23:M24)</f>
        <v>542.71794871794873</v>
      </c>
    </row>
    <row r="28" spans="1:13" ht="15.75" x14ac:dyDescent="0.25">
      <c r="A28" s="81" t="s">
        <v>102</v>
      </c>
    </row>
    <row r="30" spans="1:13" x14ac:dyDescent="0.2">
      <c r="C30" s="109" t="s">
        <v>78</v>
      </c>
      <c r="D30" s="109"/>
      <c r="E30" s="109" t="s">
        <v>77</v>
      </c>
    </row>
    <row r="31" spans="1:13" x14ac:dyDescent="0.2">
      <c r="C31" s="113">
        <f>'2012 19 days-18 nights Schedule'!B16</f>
        <v>41168</v>
      </c>
      <c r="D31" s="111" t="str">
        <f>TEXT(C31,"ddd")</f>
        <v>Sun</v>
      </c>
      <c r="E31" s="113">
        <f>'2012 19 days-18 nights Schedule'!B19</f>
        <v>41171</v>
      </c>
      <c r="F31" s="111" t="str">
        <f>TEXT(E31,"ddd")</f>
        <v>Wed</v>
      </c>
      <c r="G31" s="67">
        <f>E31-C31</f>
        <v>3</v>
      </c>
    </row>
    <row r="32" spans="1:13" x14ac:dyDescent="0.2">
      <c r="C32" s="123"/>
      <c r="E32" s="123"/>
    </row>
    <row r="33" spans="7:7" x14ac:dyDescent="0.2">
      <c r="G33" s="67">
        <f>G6+G15+G31</f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2013 Flights</vt:lpstr>
      <vt:lpstr>2013-16 days Climb Stats</vt:lpstr>
      <vt:lpstr>2012-14 days Climb Stats</vt:lpstr>
      <vt:lpstr>2012 19 days-18 nights Schedule</vt:lpstr>
      <vt:lpstr>2013 - 18 days Budget</vt:lpstr>
      <vt:lpstr>Climbs specs</vt:lpstr>
      <vt:lpstr>Shared costs (4)</vt:lpstr>
      <vt:lpstr>Rental car contributions</vt:lpstr>
      <vt:lpstr>Accommodation</vt:lpstr>
      <vt:lpstr>'2012-14 days Climb Stats'!Print_Area</vt:lpstr>
      <vt:lpstr>'2013-16 days Climb Stats'!Print_Area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2012-01-15T20:44:42Z</cp:lastPrinted>
  <dcterms:created xsi:type="dcterms:W3CDTF">2012-01-14T01:56:35Z</dcterms:created>
  <dcterms:modified xsi:type="dcterms:W3CDTF">2013-07-03T21:43:15Z</dcterms:modified>
</cp:coreProperties>
</file>