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55" windowHeight="4365" activeTab="2"/>
  </bookViews>
  <sheets>
    <sheet name="2014 - 21 days Budget" sheetId="25" r:id="rId1"/>
    <sheet name="1st shared costs 2014" sheetId="24" r:id="rId2"/>
    <sheet name="2nd shared costs 2014" sheetId="26" r:id="rId3"/>
    <sheet name="2014 Flights Milan" sheetId="23" r:id="rId4"/>
    <sheet name="Accommodation_Italy" sheetId="10" r:id="rId5"/>
    <sheet name="Shared costs 2012" sheetId="17" r:id="rId6"/>
    <sheet name="Rental car contributions" sheetId="12" r:id="rId7"/>
  </sheets>
  <calcPr calcId="145621"/>
</workbook>
</file>

<file path=xl/calcChain.xml><?xml version="1.0" encoding="utf-8"?>
<calcChain xmlns="http://schemas.openxmlformats.org/spreadsheetml/2006/main">
  <c r="C22" i="24" l="1"/>
  <c r="C21" i="24"/>
  <c r="C20" i="24"/>
  <c r="C23" i="24" l="1"/>
  <c r="C6" i="26"/>
  <c r="D17" i="26" l="1"/>
  <c r="D16" i="26"/>
  <c r="D6" i="26"/>
  <c r="N6" i="26" s="1"/>
  <c r="N8" i="26" s="1"/>
  <c r="C8" i="26"/>
  <c r="K6" i="26" l="1"/>
  <c r="M6" i="26"/>
  <c r="I6" i="26"/>
  <c r="J6" i="26"/>
  <c r="L6" i="26"/>
  <c r="E5" i="26"/>
  <c r="F7" i="25"/>
  <c r="C9" i="25"/>
  <c r="D9" i="25" s="1"/>
  <c r="C20" i="25"/>
  <c r="E20" i="25" s="1"/>
  <c r="C19" i="25"/>
  <c r="E19" i="25" s="1"/>
  <c r="C18" i="25"/>
  <c r="D18" i="25" s="1"/>
  <c r="E13" i="25"/>
  <c r="C13" i="25"/>
  <c r="D13" i="25"/>
  <c r="F13" i="25" s="1"/>
  <c r="C15" i="25"/>
  <c r="E15" i="25" s="1"/>
  <c r="C14" i="25"/>
  <c r="E14" i="25" s="1"/>
  <c r="O6" i="26" l="1"/>
  <c r="L5" i="26"/>
  <c r="L8" i="26" s="1"/>
  <c r="C16" i="26" s="1"/>
  <c r="I5" i="26"/>
  <c r="J5" i="26"/>
  <c r="M5" i="26"/>
  <c r="M8" i="26" s="1"/>
  <c r="C17" i="26" s="1"/>
  <c r="K5" i="26"/>
  <c r="K8" i="26" s="1"/>
  <c r="C15" i="26" s="1"/>
  <c r="J8" i="26"/>
  <c r="C12" i="26" s="1"/>
  <c r="C14" i="26" s="1"/>
  <c r="D14" i="25"/>
  <c r="F14" i="25" s="1"/>
  <c r="D19" i="25"/>
  <c r="F19" i="25" s="1"/>
  <c r="D15" i="25"/>
  <c r="F15" i="25" s="1"/>
  <c r="D20" i="25"/>
  <c r="F20" i="25" s="1"/>
  <c r="E18" i="25"/>
  <c r="E9" i="25"/>
  <c r="F9" i="25" s="1"/>
  <c r="F18" i="25"/>
  <c r="F22" i="25" s="1"/>
  <c r="F5" i="25"/>
  <c r="C18" i="26" l="1"/>
  <c r="O5" i="26"/>
  <c r="I8" i="26"/>
  <c r="O8" i="26" s="1"/>
  <c r="N42" i="10"/>
  <c r="N40" i="10"/>
  <c r="N38" i="10"/>
  <c r="N36" i="10"/>
  <c r="N35" i="10"/>
  <c r="N34" i="10"/>
  <c r="N33" i="10"/>
  <c r="Q9" i="10" l="1"/>
  <c r="R9" i="10" s="1"/>
  <c r="R10" i="10" s="1"/>
  <c r="S9" i="10"/>
  <c r="Q10" i="10"/>
  <c r="A17" i="10"/>
  <c r="N17" i="10" s="1"/>
  <c r="N18" i="10" s="1"/>
  <c r="N28" i="10" s="1"/>
  <c r="N16" i="10"/>
  <c r="K13" i="10"/>
  <c r="D5" i="24"/>
  <c r="D6" i="24"/>
  <c r="C6" i="24"/>
  <c r="D7" i="24"/>
  <c r="R31" i="10"/>
  <c r="R30" i="10"/>
  <c r="R32" i="10" s="1"/>
  <c r="R34" i="10" s="1"/>
  <c r="D12" i="24" s="1"/>
  <c r="R29" i="10"/>
  <c r="R25" i="10"/>
  <c r="R23" i="10"/>
  <c r="R6" i="10"/>
  <c r="R8" i="10" s="1"/>
  <c r="R16" i="10"/>
  <c r="R14" i="10"/>
  <c r="G14" i="10"/>
  <c r="C7" i="24"/>
  <c r="D9" i="24" l="1"/>
  <c r="F6" i="24"/>
  <c r="F7" i="24"/>
  <c r="L7" i="24" s="1"/>
  <c r="F14" i="24" l="1"/>
  <c r="J6" i="24"/>
  <c r="L6" i="24"/>
  <c r="K6" i="24"/>
  <c r="M6" i="24"/>
  <c r="K7" i="24"/>
  <c r="M7" i="24"/>
  <c r="J7" i="24"/>
  <c r="F15" i="24"/>
  <c r="O6" i="24" l="1"/>
  <c r="O7" i="24"/>
  <c r="C5" i="24"/>
  <c r="F5" i="24"/>
  <c r="F9" i="24" s="1"/>
  <c r="K23" i="10"/>
  <c r="M5" i="24" l="1"/>
  <c r="M9" i="24" s="1"/>
  <c r="J5" i="24"/>
  <c r="K5" i="24"/>
  <c r="F13" i="24"/>
  <c r="L5" i="24"/>
  <c r="F17" i="24"/>
  <c r="O5" i="24" l="1"/>
  <c r="O9" i="24" s="1"/>
  <c r="J9" i="24"/>
  <c r="L9" i="24"/>
  <c r="K9" i="24"/>
  <c r="L7" i="10"/>
  <c r="H24" i="10" s="1"/>
  <c r="N11" i="24" l="1"/>
  <c r="N23" i="10"/>
  <c r="N25" i="10" s="1"/>
  <c r="N26" i="10" s="1"/>
  <c r="K8" i="10" l="1"/>
  <c r="D23" i="10" l="1"/>
  <c r="A23" i="10"/>
  <c r="D5" i="10"/>
  <c r="B14" i="10" s="1"/>
  <c r="C14" i="10" s="1"/>
  <c r="B5" i="10"/>
  <c r="B23" i="10" l="1"/>
  <c r="E23" i="10"/>
  <c r="B20" i="23"/>
  <c r="B19" i="23"/>
  <c r="B18" i="23"/>
  <c r="B17" i="23"/>
  <c r="B16" i="23"/>
  <c r="B15" i="23"/>
  <c r="B14" i="23"/>
  <c r="B13" i="23"/>
  <c r="B12" i="23"/>
  <c r="C23" i="10" l="1"/>
  <c r="D14" i="10"/>
  <c r="F23" i="10"/>
  <c r="G23" i="10" s="1"/>
  <c r="P25" i="23"/>
  <c r="P26" i="23"/>
  <c r="E14" i="10" l="1"/>
  <c r="F14" i="10"/>
  <c r="K14" i="10" s="1"/>
  <c r="N14" i="10" s="1"/>
  <c r="M3" i="23"/>
  <c r="B11" i="23"/>
  <c r="B10" i="23"/>
  <c r="B9" i="23"/>
  <c r="B8" i="23"/>
  <c r="B7" i="23"/>
  <c r="B6" i="23"/>
  <c r="B5" i="23"/>
  <c r="B4" i="23"/>
  <c r="P3" i="23"/>
  <c r="B3" i="23"/>
  <c r="J2" i="23"/>
  <c r="D2" i="23"/>
  <c r="E2" i="23" s="1"/>
  <c r="S3" i="23" l="1"/>
  <c r="T3" i="23" s="1"/>
  <c r="N3" i="23"/>
  <c r="D3" i="23"/>
  <c r="D4" i="23" l="1"/>
  <c r="E4" i="23" s="1"/>
  <c r="E3" i="23"/>
  <c r="D5" i="23"/>
  <c r="D6" i="23" l="1"/>
  <c r="E5" i="23"/>
  <c r="D7" i="23" l="1"/>
  <c r="E6" i="23"/>
  <c r="D8" i="23" l="1"/>
  <c r="E7" i="23"/>
  <c r="D9" i="23" l="1"/>
  <c r="E8" i="23"/>
  <c r="D10" i="23" l="1"/>
  <c r="E9" i="23"/>
  <c r="D11" i="23" l="1"/>
  <c r="E10" i="23"/>
  <c r="D12" i="23" l="1"/>
  <c r="E11" i="23"/>
  <c r="D13" i="23" l="1"/>
  <c r="E12" i="23"/>
  <c r="D14" i="23" l="1"/>
  <c r="E13" i="23"/>
  <c r="D15" i="23" l="1"/>
  <c r="E14" i="23"/>
  <c r="D16" i="23" l="1"/>
  <c r="E15" i="23"/>
  <c r="D17" i="23" l="1"/>
  <c r="E16" i="23"/>
  <c r="D18" i="23" l="1"/>
  <c r="E17" i="23"/>
  <c r="D19" i="23" l="1"/>
  <c r="E18" i="23"/>
  <c r="D20" i="23" l="1"/>
  <c r="D21" i="23" s="1"/>
  <c r="E21" i="23" s="1"/>
  <c r="E19" i="23"/>
  <c r="E20" i="23" l="1"/>
  <c r="D22" i="23"/>
  <c r="D23" i="23" s="1"/>
  <c r="D24" i="23" l="1"/>
  <c r="E23" i="23"/>
  <c r="E22" i="23"/>
  <c r="N36" i="17"/>
  <c r="M36" i="17"/>
  <c r="L36" i="17"/>
  <c r="K36" i="17"/>
  <c r="J36" i="17"/>
  <c r="J29" i="17"/>
  <c r="L29" i="17"/>
  <c r="D26" i="23" l="1"/>
  <c r="E24" i="23"/>
  <c r="K25" i="17"/>
  <c r="J25" i="17"/>
  <c r="F25" i="17"/>
  <c r="E26" i="23" l="1"/>
  <c r="J26" i="23" s="1"/>
  <c r="I26" i="23"/>
  <c r="M26" i="23" s="1"/>
  <c r="F23" i="17"/>
  <c r="D21" i="17"/>
  <c r="G21" i="17" s="1"/>
  <c r="K21" i="17" s="1"/>
  <c r="C19" i="17"/>
  <c r="E19" i="17" s="1"/>
  <c r="M17" i="17"/>
  <c r="K17" i="17"/>
  <c r="J17" i="17"/>
  <c r="J13" i="17"/>
  <c r="D11" i="17"/>
  <c r="L11" i="17" s="1"/>
  <c r="G9" i="17"/>
  <c r="F9" i="17"/>
  <c r="D9" i="17"/>
  <c r="L9" i="17" s="1"/>
  <c r="M7" i="17"/>
  <c r="L7" i="17"/>
  <c r="K7" i="17"/>
  <c r="J7" i="17"/>
  <c r="F7" i="17"/>
  <c r="L5" i="17"/>
  <c r="K5" i="17"/>
  <c r="J5" i="17"/>
  <c r="S26" i="23" l="1"/>
  <c r="T26" i="23" s="1"/>
  <c r="N26" i="23"/>
  <c r="K11" i="17"/>
  <c r="K9" i="17"/>
  <c r="M9" i="17"/>
  <c r="G11" i="17"/>
  <c r="M11" i="17"/>
  <c r="E13" i="17"/>
  <c r="L13" i="17" s="1"/>
  <c r="L21" i="17"/>
  <c r="L19" i="17"/>
  <c r="J19" i="17"/>
  <c r="K19" i="17"/>
  <c r="L23" i="17"/>
  <c r="J23" i="17"/>
  <c r="K23" i="17"/>
  <c r="J21" i="17"/>
  <c r="I9" i="17"/>
  <c r="J9" i="17"/>
  <c r="J11" i="17"/>
  <c r="K13" i="17" l="1"/>
  <c r="A2" i="12" l="1"/>
  <c r="A3" i="12" s="1"/>
  <c r="D15" i="17" s="1"/>
  <c r="M15" i="17" l="1"/>
  <c r="M27" i="17" s="1"/>
  <c r="E15" i="17"/>
  <c r="D7" i="12"/>
  <c r="D6" i="12"/>
  <c r="J32" i="17" l="1"/>
  <c r="M29" i="17"/>
  <c r="M33" i="17" s="1"/>
  <c r="L15" i="17"/>
  <c r="L27" i="17" s="1"/>
  <c r="K15" i="17"/>
  <c r="K27" i="17" s="1"/>
  <c r="J15" i="17"/>
  <c r="J27" i="17" s="1"/>
  <c r="N27" i="17" s="1"/>
  <c r="J33" i="17" l="1"/>
  <c r="K31" i="17"/>
  <c r="K33" i="17" s="1"/>
  <c r="L30" i="17"/>
  <c r="E7" i="12"/>
  <c r="E6" i="12"/>
  <c r="B1" i="12"/>
  <c r="B6" i="12" s="1"/>
  <c r="B7" i="12" s="1"/>
  <c r="L33" i="17" l="1"/>
  <c r="N33" i="17" s="1"/>
  <c r="C1" i="12"/>
  <c r="F7" i="12"/>
  <c r="F6" i="12" l="1"/>
  <c r="F8" i="12" s="1"/>
  <c r="G1" i="12"/>
  <c r="G2" i="12"/>
  <c r="I2" i="12" l="1"/>
  <c r="E2" i="12"/>
  <c r="F2" i="12" s="1"/>
  <c r="I1" i="12"/>
  <c r="I3" i="12" s="1"/>
  <c r="E1" i="12"/>
  <c r="F1" i="12" s="1"/>
  <c r="F3" i="12" s="1"/>
  <c r="C5" i="10" l="1"/>
  <c r="E5" i="10" l="1"/>
  <c r="F5" i="10"/>
  <c r="K5" i="10" l="1"/>
  <c r="K7" i="10" s="1"/>
  <c r="H5" i="10" l="1"/>
  <c r="N7" i="10"/>
  <c r="H6" i="10" l="1"/>
  <c r="N9" i="10"/>
  <c r="N11" i="10" l="1"/>
  <c r="N12" i="10" s="1"/>
  <c r="K9" i="10"/>
  <c r="K11" i="10" s="1"/>
</calcChain>
</file>

<file path=xl/comments1.xml><?xml version="1.0" encoding="utf-8"?>
<comments xmlns="http://schemas.openxmlformats.org/spreadsheetml/2006/main">
  <authors>
    <author>Johnston</author>
  </authors>
  <commentList>
    <comment ref="C9" authorId="0">
      <text>
        <r>
          <rPr>
            <b/>
            <sz val="8"/>
            <color indexed="81"/>
            <rFont val="Tahoma"/>
            <family val="2"/>
          </rPr>
          <t>one quarter of cost</t>
        </r>
      </text>
    </comment>
    <comment ref="D9" authorId="0">
      <text>
        <r>
          <rPr>
            <b/>
            <sz val="8"/>
            <color indexed="81"/>
            <rFont val="Tahoma"/>
            <family val="2"/>
          </rPr>
          <t>one quarter
 of cost</t>
        </r>
      </text>
    </comment>
  </commentList>
</comments>
</file>

<file path=xl/sharedStrings.xml><?xml version="1.0" encoding="utf-8"?>
<sst xmlns="http://schemas.openxmlformats.org/spreadsheetml/2006/main" count="229" uniqueCount="149">
  <si>
    <t>Day</t>
  </si>
  <si>
    <t>Date</t>
  </si>
  <si>
    <t xml:space="preserve"> </t>
  </si>
  <si>
    <t>Depart</t>
  </si>
  <si>
    <t>Arrive</t>
  </si>
  <si>
    <t>1st</t>
  </si>
  <si>
    <t>2nd</t>
  </si>
  <si>
    <t>is wrong</t>
  </si>
  <si>
    <t>=1/55</t>
  </si>
  <si>
    <t>Share</t>
  </si>
  <si>
    <t>DP, ST, &amp; PJ</t>
  </si>
  <si>
    <t>=15/55</t>
  </si>
  <si>
    <t>DJ</t>
  </si>
  <si>
    <t>=10/15</t>
  </si>
  <si>
    <t>Bike rack</t>
  </si>
  <si>
    <t>Camp Grand 1st Base Camp</t>
  </si>
  <si>
    <t>Camp Grand 2nd Base Camp</t>
  </si>
  <si>
    <t>David J</t>
  </si>
  <si>
    <t>Euro to AUD</t>
  </si>
  <si>
    <t>Item</t>
  </si>
  <si>
    <t>Paid Scott</t>
  </si>
  <si>
    <t>Paid Phil</t>
  </si>
  <si>
    <t>OwingScott</t>
  </si>
  <si>
    <t>OwingPhil</t>
  </si>
  <si>
    <t>OwingDP</t>
  </si>
  <si>
    <t>OwingDJ</t>
  </si>
  <si>
    <t>PaidDP</t>
  </si>
  <si>
    <t>Cost AUD</t>
  </si>
  <si>
    <t>Cost Euro</t>
  </si>
  <si>
    <t>PaidDJ</t>
  </si>
  <si>
    <t xml:space="preserve">Total </t>
  </si>
  <si>
    <t>Beer 1, Cheese, Bread</t>
  </si>
  <si>
    <t>Hotel in Sault</t>
  </si>
  <si>
    <t>Hotel in Avignon</t>
  </si>
  <si>
    <t>Scott J</t>
  </si>
  <si>
    <t>Phil J</t>
  </si>
  <si>
    <t>David P</t>
  </si>
  <si>
    <t>Residence St Germain, Paris</t>
  </si>
  <si>
    <t>Diesel_1-Grenoble</t>
  </si>
  <si>
    <t>Diesel_2-Avignon</t>
  </si>
  <si>
    <t>EuroCar one way fee</t>
  </si>
  <si>
    <t>Rental EuroCar</t>
  </si>
  <si>
    <t>L'Actuel Hotel in Chambery</t>
  </si>
  <si>
    <t>Flight time</t>
  </si>
  <si>
    <t>Depart Syd date</t>
  </si>
  <si>
    <t>Depart Syd time</t>
  </si>
  <si>
    <t>Climb Day #</t>
  </si>
  <si>
    <t>Night # in BC</t>
  </si>
  <si>
    <t xml:space="preserve">Base Camp  </t>
  </si>
  <si>
    <t>Depart Syd day</t>
  </si>
  <si>
    <t>7:30am drive 191km to 2nd BC</t>
  </si>
  <si>
    <t>14:30</t>
  </si>
  <si>
    <t>Depart Dubai</t>
  </si>
  <si>
    <t>Arrive Dubai Date</t>
  </si>
  <si>
    <t>Arrive Dubai Time</t>
  </si>
  <si>
    <t>Arrive Dubai Day</t>
  </si>
  <si>
    <t>Arrive Milan Airport</t>
  </si>
  <si>
    <t>QANTAS Emirates QF1</t>
  </si>
  <si>
    <t>Sydney Airport via Dubai to Milan</t>
  </si>
  <si>
    <t>Date Milan</t>
  </si>
  <si>
    <t>Day Milan</t>
  </si>
  <si>
    <t>Afternoon ride from Bormio</t>
  </si>
  <si>
    <t>Catch Emirates EK92 at 10:20pm Sun.</t>
  </si>
  <si>
    <t>Depart Milan date</t>
  </si>
  <si>
    <t>Depart Milan day</t>
  </si>
  <si>
    <t>Depart Milan time</t>
  </si>
  <si>
    <t>Depart Dubai Time</t>
  </si>
  <si>
    <t>Wait time</t>
  </si>
  <si>
    <t>Arrive Sydney Airport</t>
  </si>
  <si>
    <t>Date Sydney</t>
  </si>
  <si>
    <t>Day Sydney</t>
  </si>
  <si>
    <t>12pm Drive 199km from Bormio to Milan</t>
  </si>
  <si>
    <t>4pm Arrive Milan hotel and store bikes</t>
  </si>
  <si>
    <t>5pm return rental car in Milan</t>
  </si>
  <si>
    <t>See Milan Sunday and Monday</t>
  </si>
  <si>
    <t>Ride days</t>
  </si>
  <si>
    <t>Milan</t>
  </si>
  <si>
    <t>Look see Milan</t>
  </si>
  <si>
    <t>Number of bungalows</t>
  </si>
  <si>
    <t>2 x two persons bungalows</t>
  </si>
  <si>
    <t>Nights</t>
  </si>
  <si>
    <t>Cleaning</t>
  </si>
  <si>
    <t>Persons</t>
  </si>
  <si>
    <t>Per person</t>
  </si>
  <si>
    <t>Per day</t>
  </si>
  <si>
    <t>Euro costs</t>
  </si>
  <si>
    <t>AUD costs</t>
  </si>
  <si>
    <t>F/X remittance fee</t>
  </si>
  <si>
    <t>Drive 340km NE from Milan to Corfosco</t>
  </si>
  <si>
    <t>Arrive 1st Base Camp Corfosco</t>
  </si>
  <si>
    <t>Weekly rate</t>
  </si>
  <si>
    <t>Number of apartments</t>
  </si>
  <si>
    <t>Daily rate for 4 person bungalow</t>
  </si>
  <si>
    <t>Owing to Scott</t>
  </si>
  <si>
    <t>Owing to Phil</t>
  </si>
  <si>
    <t>Owing to DP</t>
  </si>
  <si>
    <t>Owing to Jean</t>
  </si>
  <si>
    <t>Paid by Scott</t>
  </si>
  <si>
    <t>Paid by Phil</t>
  </si>
  <si>
    <t>Paid by David</t>
  </si>
  <si>
    <t>Paid by Jean</t>
  </si>
  <si>
    <t>Variance</t>
  </si>
  <si>
    <t>Bormio casa Betty - 3rd Base Camp</t>
  </si>
  <si>
    <t>Camping Colfosco - 1st Base Camp</t>
  </si>
  <si>
    <t>incl $15 fee</t>
  </si>
  <si>
    <t>Pension Astoria - 2nd Base Camp</t>
  </si>
  <si>
    <t>1 x four persons apartment</t>
  </si>
  <si>
    <t>incl b'fast</t>
  </si>
  <si>
    <t>Daily rate for 4</t>
  </si>
  <si>
    <t>Deposits</t>
  </si>
  <si>
    <t>Ave cost per day per person</t>
  </si>
  <si>
    <t>1.2km West of Corvara</t>
  </si>
  <si>
    <t>In Bormio</t>
  </si>
  <si>
    <r>
      <t>1st Base Camp: '</t>
    </r>
    <r>
      <rPr>
        <b/>
        <i/>
        <sz val="12"/>
        <color theme="1"/>
        <rFont val="Arial"/>
        <family val="2"/>
      </rPr>
      <t>Camping Corfosco</t>
    </r>
    <r>
      <rPr>
        <b/>
        <sz val="12"/>
        <color theme="1"/>
        <rFont val="Arial"/>
        <family val="2"/>
      </rPr>
      <t xml:space="preserve">' </t>
    </r>
  </si>
  <si>
    <t xml:space="preserve">3rd Base Camp:  Appartmento Stella </t>
  </si>
  <si>
    <t>2nd Base Camp: 'Pension Astoria'</t>
  </si>
  <si>
    <t>Prato allo Stelvio is 22km NE of Bormio via Stelvio National Park</t>
  </si>
  <si>
    <t>Each person still to pay ===&gt;&gt;&gt;</t>
  </si>
  <si>
    <t>depending on AUD rate</t>
  </si>
  <si>
    <t xml:space="preserve">Exchange rate AUD$1 = </t>
  </si>
  <si>
    <t>Return QANTAS/Emirates flight if booked by mid-Feb. with 30kg check-in luggage incl bicycle</t>
  </si>
  <si>
    <t>18 days cycling from 3 Base Camps</t>
  </si>
  <si>
    <r>
      <t xml:space="preserve">3 days in Milan </t>
    </r>
    <r>
      <rPr>
        <b/>
        <i/>
        <sz val="10"/>
        <color theme="1"/>
        <rFont val="Arial"/>
        <family val="2"/>
      </rPr>
      <t>post</t>
    </r>
    <r>
      <rPr>
        <b/>
        <sz val="10"/>
        <color theme="1"/>
        <rFont val="Arial"/>
        <family val="2"/>
      </rPr>
      <t xml:space="preserve"> cycling</t>
    </r>
  </si>
  <si>
    <t>TOTAL</t>
  </si>
  <si>
    <t>Travel insurance - Covermore</t>
  </si>
  <si>
    <t>TOTAL AUD BUDGET  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</t>
  </si>
  <si>
    <t>EURO € per day</t>
  </si>
  <si>
    <t>AUD $ per day</t>
  </si>
  <si>
    <t>collect at Milan on Tues 2 Sept and return Milan on Sat. 30 Aug</t>
  </si>
  <si>
    <t>5 seater Peugeot 5008 (or similar) from rentalcars.com for 18 days - incl fuel</t>
  </si>
  <si>
    <r>
      <t xml:space="preserve">2014 </t>
    </r>
    <r>
      <rPr>
        <b/>
        <i/>
        <sz val="14"/>
        <color theme="1"/>
        <rFont val="Arial Narrow"/>
        <family val="2"/>
      </rPr>
      <t>Tour de Italia Alps</t>
    </r>
    <r>
      <rPr>
        <b/>
        <sz val="14"/>
        <color theme="1"/>
        <rFont val="Arial Narrow"/>
        <family val="2"/>
      </rPr>
      <t xml:space="preserve"> budget</t>
    </r>
  </si>
  <si>
    <t>Fly into Milan Tues morn', 12 Aug - Fly from Milan Monday arvo, 1 Sept &gt;&gt;&gt;&gt;&gt;</t>
  </si>
  <si>
    <t>1st shared costs 2014</t>
  </si>
  <si>
    <t>2nd shared costs 2014</t>
  </si>
  <si>
    <t>Hotel Bogart in Milan - 2 nights (not Syd)</t>
  </si>
  <si>
    <t>Ford Transit Combi - 9 seater</t>
  </si>
  <si>
    <t>Paid by Dave J.</t>
  </si>
  <si>
    <t>Owing to Dave J.</t>
  </si>
  <si>
    <t>Owing to Syd</t>
  </si>
  <si>
    <t>Owing to Dave P.</t>
  </si>
  <si>
    <t>Syd remitted</t>
  </si>
  <si>
    <t>Scott remitted</t>
  </si>
  <si>
    <t>David P.remitted</t>
  </si>
  <si>
    <t>David P. remitted</t>
  </si>
  <si>
    <t>Jean  E. remitted</t>
  </si>
  <si>
    <t>to Phil on</t>
  </si>
  <si>
    <t>to Phil on &gt;&gt;&gt;&gt;</t>
  </si>
  <si>
    <t>Dave J. remitted</t>
  </si>
  <si>
    <t>to Scott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</si>
</sst>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EUR]\ #,##0.00"/>
    <numFmt numFmtId="165" formatCode="0\ &quot;days&quot;"/>
    <numFmt numFmtId="166" formatCode="[$EUR]\ #,##0"/>
    <numFmt numFmtId="167" formatCode="[$-C09]dd\-mmm\-yy;@"/>
    <numFmt numFmtId="168" formatCode="[$AUD]\ #,##0.00"/>
    <numFmt numFmtId="169" formatCode="0.00\ &quot;Euro&quot;"/>
    <numFmt numFmtId="170" formatCode="&quot;$&quot;#,##0.00"/>
    <numFmt numFmtId="171" formatCode="0\ &quot; days in Italy&quot;"/>
    <numFmt numFmtId="172" formatCode="[$€-2]\ #,##0"/>
    <numFmt numFmtId="173" formatCode="0.0000"/>
    <numFmt numFmtId="174" formatCode="&quot;divided by&quot;\ 0"/>
    <numFmt numFmtId="175" formatCode="[$AUD]\ #,##0"/>
    <numFmt numFmtId="176" formatCode="\1\8\ &quot;days&quot;"/>
    <numFmt numFmtId="177" formatCode="\3\ &quot;days&quot;"/>
    <numFmt numFmtId="178" formatCode="&quot;Meals @&quot;\ 0\ &quot;Euro per day based on eating-in half the 18 nights&quot;"/>
    <numFmt numFmtId="179" formatCode="&quot;Alcohol @&quot;\ 0\ &quot;Euro per night based on eating-in half the 18 nights and buying some booze @ supermarkets&quot;"/>
    <numFmt numFmtId="180" formatCode="&quot;Accommodation in bungalows/apartments @&quot;\ 0\ &quot;Euro per night&quot;"/>
    <numFmt numFmtId="181" formatCode="&quot;Accommodation at hotel @&quot;\ 0\ &quot;Euro per night - twin share&quot;"/>
    <numFmt numFmtId="182" formatCode="&quot;Meals @&quot;\ 0\ &quot;Euro per day&quot;"/>
    <numFmt numFmtId="183" formatCode="&quot;Alcohol @&quot;\ 0\ &quot;Euro per night&quot;"/>
  </numFmts>
  <fonts count="3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Tahoma"/>
      <family val="2"/>
    </font>
    <font>
      <b/>
      <sz val="12"/>
      <color theme="1"/>
      <name val="Calibri"/>
      <family val="2"/>
    </font>
    <font>
      <u/>
      <sz val="11"/>
      <color rgb="FF0000FF"/>
      <name val="Arial"/>
      <family val="2"/>
    </font>
    <font>
      <sz val="10"/>
      <color rgb="FF000000"/>
      <name val="Arial"/>
      <family val="2"/>
    </font>
    <font>
      <b/>
      <i/>
      <sz val="12"/>
      <color theme="1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b/>
      <u/>
      <sz val="10"/>
      <color theme="10"/>
      <name val="Arial"/>
      <family val="2"/>
    </font>
    <font>
      <b/>
      <sz val="8"/>
      <color indexed="81"/>
      <name val="Tahoma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u/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/>
    <xf numFmtId="0" fontId="0" fillId="3" borderId="0" xfId="0" applyFill="1"/>
    <xf numFmtId="0" fontId="0" fillId="0" borderId="0" xfId="0" quotePrefix="1"/>
    <xf numFmtId="8" fontId="0" fillId="0" borderId="0" xfId="0" applyNumberFormat="1"/>
    <xf numFmtId="0" fontId="9" fillId="0" borderId="0" xfId="0" applyFont="1"/>
    <xf numFmtId="167" fontId="0" fillId="0" borderId="0" xfId="0" applyNumberFormat="1" applyAlignment="1">
      <alignment horizontal="center"/>
    </xf>
    <xf numFmtId="15" fontId="0" fillId="0" borderId="0" xfId="0" applyNumberFormat="1"/>
    <xf numFmtId="168" fontId="0" fillId="0" borderId="0" xfId="0" applyNumberFormat="1"/>
    <xf numFmtId="164" fontId="6" fillId="0" borderId="0" xfId="0" applyNumberFormat="1" applyFont="1"/>
    <xf numFmtId="0" fontId="8" fillId="0" borderId="0" xfId="0" applyFont="1"/>
    <xf numFmtId="44" fontId="0" fillId="0" borderId="0" xfId="2" applyFont="1"/>
    <xf numFmtId="10" fontId="0" fillId="4" borderId="0" xfId="1" applyNumberFormat="1" applyFont="1" applyFill="1"/>
    <xf numFmtId="0" fontId="0" fillId="4" borderId="0" xfId="0" applyFill="1"/>
    <xf numFmtId="44" fontId="0" fillId="4" borderId="0" xfId="2" applyFont="1" applyFill="1"/>
    <xf numFmtId="44" fontId="11" fillId="4" borderId="0" xfId="2" applyFont="1" applyFill="1"/>
    <xf numFmtId="9" fontId="0" fillId="4" borderId="0" xfId="1" applyFont="1" applyFill="1"/>
    <xf numFmtId="44" fontId="0" fillId="4" borderId="0" xfId="0" applyNumberFormat="1" applyFill="1"/>
    <xf numFmtId="0" fontId="10" fillId="3" borderId="0" xfId="0" quotePrefix="1" applyFont="1" applyFill="1" applyAlignment="1">
      <alignment horizontal="center"/>
    </xf>
    <xf numFmtId="0" fontId="10" fillId="3" borderId="0" xfId="0" applyFont="1" applyFill="1"/>
    <xf numFmtId="44" fontId="0" fillId="3" borderId="0" xfId="0" applyNumberFormat="1" applyFill="1"/>
    <xf numFmtId="0" fontId="0" fillId="3" borderId="0" xfId="0" quotePrefix="1" applyFill="1"/>
    <xf numFmtId="44" fontId="0" fillId="3" borderId="0" xfId="2" applyFont="1" applyFill="1"/>
    <xf numFmtId="44" fontId="11" fillId="3" borderId="0" xfId="2" applyFont="1" applyFill="1"/>
    <xf numFmtId="44" fontId="0" fillId="0" borderId="0" xfId="0" applyNumberFormat="1"/>
    <xf numFmtId="169" fontId="0" fillId="0" borderId="0" xfId="0" applyNumberFormat="1"/>
    <xf numFmtId="170" fontId="0" fillId="0" borderId="0" xfId="0" applyNumberFormat="1"/>
    <xf numFmtId="170" fontId="0" fillId="3" borderId="0" xfId="0" applyNumberFormat="1" applyFill="1"/>
    <xf numFmtId="0" fontId="4" fillId="0" borderId="0" xfId="0" applyFont="1"/>
    <xf numFmtId="170" fontId="7" fillId="0" borderId="0" xfId="0" applyNumberFormat="1" applyFont="1"/>
    <xf numFmtId="0" fontId="0" fillId="5" borderId="0" xfId="0" applyFont="1" applyFill="1"/>
    <xf numFmtId="2" fontId="0" fillId="0" borderId="0" xfId="0" applyNumberFormat="1"/>
    <xf numFmtId="0" fontId="0" fillId="6" borderId="0" xfId="0" applyFill="1"/>
    <xf numFmtId="170" fontId="0" fillId="6" borderId="0" xfId="0" applyNumberFormat="1" applyFill="1"/>
    <xf numFmtId="170" fontId="0" fillId="6" borderId="1" xfId="0" applyNumberFormat="1" applyFill="1" applyBorder="1"/>
    <xf numFmtId="0" fontId="0" fillId="6" borderId="1" xfId="0" applyFill="1" applyBorder="1"/>
    <xf numFmtId="170" fontId="0" fillId="3" borderId="2" xfId="0" applyNumberFormat="1" applyFill="1" applyBorder="1"/>
    <xf numFmtId="18" fontId="0" fillId="0" borderId="0" xfId="0" applyNumberFormat="1"/>
    <xf numFmtId="0" fontId="2" fillId="0" borderId="0" xfId="0" applyFont="1" applyAlignment="1">
      <alignment horizontal="center" wrapText="1"/>
    </xf>
    <xf numFmtId="15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15" fontId="2" fillId="0" borderId="0" xfId="0" applyNumberFormat="1" applyFont="1" applyAlignment="1">
      <alignment wrapText="1"/>
    </xf>
    <xf numFmtId="15" fontId="2" fillId="0" borderId="0" xfId="0" applyNumberFormat="1" applyFont="1" applyAlignment="1">
      <alignment horizontal="center" wrapText="1"/>
    </xf>
    <xf numFmtId="18" fontId="2" fillId="0" borderId="0" xfId="0" applyNumberFormat="1" applyFont="1" applyAlignment="1">
      <alignment wrapText="1"/>
    </xf>
    <xf numFmtId="20" fontId="2" fillId="0" borderId="0" xfId="0" quotePrefix="1" applyNumberFormat="1" applyFont="1" applyAlignment="1">
      <alignment horizontal="center" wrapText="1"/>
    </xf>
    <xf numFmtId="18" fontId="2" fillId="0" borderId="0" xfId="0" quotePrefix="1" applyNumberFormat="1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18" fontId="2" fillId="0" borderId="0" xfId="0" applyNumberFormat="1" applyFont="1"/>
    <xf numFmtId="44" fontId="2" fillId="0" borderId="0" xfId="2" applyFont="1"/>
    <xf numFmtId="15" fontId="2" fillId="5" borderId="0" xfId="0" applyNumberFormat="1" applyFont="1" applyFill="1" applyAlignment="1">
      <alignment horizontal="center"/>
    </xf>
    <xf numFmtId="20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19" fontId="2" fillId="0" borderId="0" xfId="0" applyNumberFormat="1" applyFont="1"/>
    <xf numFmtId="20" fontId="2" fillId="0" borderId="0" xfId="0" quotePrefix="1" applyNumberFormat="1" applyFont="1" applyAlignment="1">
      <alignment horizontal="center"/>
    </xf>
    <xf numFmtId="0" fontId="12" fillId="0" borderId="0" xfId="2" applyNumberFormat="1" applyFont="1" applyAlignment="1">
      <alignment horizontal="center"/>
    </xf>
    <xf numFmtId="0" fontId="12" fillId="3" borderId="0" xfId="2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8" fontId="2" fillId="0" borderId="0" xfId="0" applyNumberFormat="1" applyFont="1" applyAlignment="1">
      <alignment horizontal="center"/>
    </xf>
    <xf numFmtId="0" fontId="2" fillId="0" borderId="0" xfId="2" applyNumberFormat="1" applyFont="1" applyAlignment="1">
      <alignment horizontal="center"/>
    </xf>
    <xf numFmtId="15" fontId="2" fillId="0" borderId="0" xfId="0" quotePrefix="1" applyNumberFormat="1" applyFont="1" applyAlignment="1">
      <alignment horizontal="center" wrapText="1"/>
    </xf>
    <xf numFmtId="20" fontId="13" fillId="0" borderId="0" xfId="0" quotePrefix="1" applyNumberFormat="1" applyFont="1" applyAlignment="1">
      <alignment horizontal="center" wrapText="1"/>
    </xf>
    <xf numFmtId="18" fontId="2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quotePrefix="1" applyFont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5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textRotation="180" wrapText="1"/>
    </xf>
    <xf numFmtId="7" fontId="8" fillId="2" borderId="0" xfId="2" applyNumberFormat="1" applyFont="1" applyFill="1" applyAlignment="1">
      <alignment horizontal="center"/>
    </xf>
    <xf numFmtId="44" fontId="2" fillId="0" borderId="0" xfId="2" applyFont="1" applyAlignment="1">
      <alignment horizontal="left"/>
    </xf>
    <xf numFmtId="171" fontId="8" fillId="2" borderId="0" xfId="0" applyNumberFormat="1" applyFont="1" applyFill="1" applyAlignment="1">
      <alignment horizontal="center" wrapText="1"/>
    </xf>
    <xf numFmtId="0" fontId="1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/>
    </xf>
    <xf numFmtId="168" fontId="6" fillId="0" borderId="0" xfId="0" applyNumberFormat="1" applyFont="1"/>
    <xf numFmtId="168" fontId="17" fillId="0" borderId="0" xfId="0" applyNumberFormat="1" applyFont="1"/>
    <xf numFmtId="0" fontId="0" fillId="0" borderId="0" xfId="0" applyAlignment="1">
      <alignment horizontal="right"/>
    </xf>
    <xf numFmtId="0" fontId="20" fillId="0" borderId="0" xfId="3" applyFont="1"/>
    <xf numFmtId="170" fontId="0" fillId="7" borderId="0" xfId="0" applyNumberFormat="1" applyFill="1"/>
    <xf numFmtId="0" fontId="0" fillId="7" borderId="0" xfId="0" applyFill="1"/>
    <xf numFmtId="9" fontId="4" fillId="7" borderId="0" xfId="0" applyNumberFormat="1" applyFont="1" applyFill="1" applyAlignment="1">
      <alignment horizontal="center"/>
    </xf>
    <xf numFmtId="170" fontId="4" fillId="0" borderId="0" xfId="0" applyNumberFormat="1" applyFont="1"/>
    <xf numFmtId="172" fontId="15" fillId="3" borderId="0" xfId="0" applyNumberFormat="1" applyFont="1" applyFill="1"/>
    <xf numFmtId="168" fontId="21" fillId="3" borderId="0" xfId="0" applyNumberFormat="1" applyFont="1" applyFill="1"/>
    <xf numFmtId="168" fontId="6" fillId="3" borderId="0" xfId="0" applyNumberFormat="1" applyFont="1" applyFill="1"/>
    <xf numFmtId="168" fontId="0" fillId="3" borderId="0" xfId="0" applyNumberFormat="1" applyFill="1"/>
    <xf numFmtId="173" fontId="0" fillId="3" borderId="0" xfId="0" applyNumberFormat="1" applyFill="1"/>
    <xf numFmtId="0" fontId="5" fillId="3" borderId="0" xfId="0" applyFont="1" applyFill="1"/>
    <xf numFmtId="164" fontId="6" fillId="5" borderId="0" xfId="0" applyNumberFormat="1" applyFont="1" applyFill="1"/>
    <xf numFmtId="168" fontId="16" fillId="5" borderId="0" xfId="0" applyNumberFormat="1" applyFont="1" applyFill="1"/>
    <xf numFmtId="0" fontId="0" fillId="5" borderId="0" xfId="0" applyFill="1"/>
    <xf numFmtId="164" fontId="0" fillId="5" borderId="0" xfId="0" applyNumberFormat="1" applyFill="1"/>
    <xf numFmtId="168" fontId="0" fillId="5" borderId="0" xfId="0" applyNumberFormat="1" applyFill="1"/>
    <xf numFmtId="17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8" fontId="0" fillId="0" borderId="0" xfId="0" applyNumberFormat="1" applyBorder="1"/>
    <xf numFmtId="0" fontId="0" fillId="3" borderId="0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8" fontId="0" fillId="0" borderId="1" xfId="0" applyNumberFormat="1" applyBorder="1"/>
    <xf numFmtId="0" fontId="0" fillId="3" borderId="1" xfId="0" applyFill="1" applyBorder="1"/>
    <xf numFmtId="168" fontId="0" fillId="3" borderId="0" xfId="0" applyNumberFormat="1" applyFill="1" applyBorder="1"/>
    <xf numFmtId="164" fontId="4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4" fillId="8" borderId="0" xfId="0" applyFont="1" applyFill="1"/>
    <xf numFmtId="0" fontId="4" fillId="8" borderId="0" xfId="0" applyFont="1" applyFill="1" applyAlignment="1">
      <alignment horizontal="right"/>
    </xf>
    <xf numFmtId="168" fontId="4" fillId="8" borderId="0" xfId="0" applyNumberFormat="1" applyFont="1" applyFill="1"/>
    <xf numFmtId="168" fontId="0" fillId="9" borderId="0" xfId="0" applyNumberFormat="1" applyFill="1"/>
    <xf numFmtId="168" fontId="6" fillId="9" borderId="0" xfId="0" applyNumberFormat="1" applyFont="1" applyFill="1"/>
    <xf numFmtId="0" fontId="0" fillId="9" borderId="0" xfId="0" applyFill="1"/>
    <xf numFmtId="0" fontId="23" fillId="0" borderId="0" xfId="0" applyFont="1"/>
    <xf numFmtId="0" fontId="25" fillId="0" borderId="0" xfId="3" applyFont="1"/>
    <xf numFmtId="0" fontId="0" fillId="2" borderId="5" xfId="0" applyFill="1" applyBorder="1"/>
    <xf numFmtId="0" fontId="0" fillId="2" borderId="6" xfId="0" applyFill="1" applyBorder="1"/>
    <xf numFmtId="175" fontId="0" fillId="0" borderId="5" xfId="0" applyNumberFormat="1" applyBorder="1"/>
    <xf numFmtId="0" fontId="0" fillId="0" borderId="6" xfId="0" applyBorder="1"/>
    <xf numFmtId="0" fontId="0" fillId="0" borderId="5" xfId="0" applyBorder="1"/>
    <xf numFmtId="166" fontId="0" fillId="2" borderId="5" xfId="0" applyNumberFormat="1" applyFill="1" applyBorder="1"/>
    <xf numFmtId="166" fontId="0" fillId="2" borderId="6" xfId="0" applyNumberFormat="1" applyFill="1" applyBorder="1"/>
    <xf numFmtId="175" fontId="0" fillId="0" borderId="6" xfId="0" applyNumberFormat="1" applyBorder="1"/>
    <xf numFmtId="175" fontId="0" fillId="0" borderId="0" xfId="0" applyNumberFormat="1"/>
    <xf numFmtId="166" fontId="0" fillId="2" borderId="7" xfId="0" applyNumberFormat="1" applyFill="1" applyBorder="1"/>
    <xf numFmtId="166" fontId="0" fillId="2" borderId="8" xfId="0" applyNumberFormat="1" applyFill="1" applyBorder="1"/>
    <xf numFmtId="175" fontId="0" fillId="0" borderId="8" xfId="0" applyNumberFormat="1" applyBorder="1"/>
    <xf numFmtId="0" fontId="4" fillId="3" borderId="0" xfId="0" applyFont="1" applyFill="1"/>
    <xf numFmtId="165" fontId="23" fillId="0" borderId="0" xfId="0" applyNumberFormat="1" applyFont="1"/>
    <xf numFmtId="166" fontId="0" fillId="2" borderId="5" xfId="0" applyNumberFormat="1" applyFill="1" applyBorder="1" applyAlignment="1"/>
    <xf numFmtId="175" fontId="0" fillId="0" borderId="7" xfId="0" applyNumberFormat="1" applyBorder="1"/>
    <xf numFmtId="0" fontId="4" fillId="3" borderId="0" xfId="0" applyFont="1" applyFill="1" applyAlignment="1">
      <alignment horizontal="right"/>
    </xf>
    <xf numFmtId="164" fontId="4" fillId="3" borderId="0" xfId="0" applyNumberFormat="1" applyFont="1" applyFill="1"/>
    <xf numFmtId="0" fontId="25" fillId="0" borderId="0" xfId="3" applyFont="1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178" fontId="0" fillId="0" borderId="0" xfId="0" applyNumberFormat="1" applyAlignment="1">
      <alignment horizontal="left"/>
    </xf>
    <xf numFmtId="179" fontId="0" fillId="0" borderId="0" xfId="0" applyNumberFormat="1" applyAlignment="1">
      <alignment horizontal="left"/>
    </xf>
    <xf numFmtId="166" fontId="0" fillId="5" borderId="6" xfId="0" applyNumberFormat="1" applyFill="1" applyBorder="1"/>
    <xf numFmtId="180" fontId="0" fillId="0" borderId="0" xfId="0" applyNumberFormat="1" applyAlignment="1">
      <alignment horizontal="left"/>
    </xf>
    <xf numFmtId="181" fontId="0" fillId="0" borderId="0" xfId="0" applyNumberFormat="1" applyAlignment="1">
      <alignment horizontal="left"/>
    </xf>
    <xf numFmtId="182" fontId="0" fillId="0" borderId="0" xfId="0" applyNumberFormat="1" applyAlignment="1">
      <alignment horizontal="left"/>
    </xf>
    <xf numFmtId="183" fontId="0" fillId="0" borderId="0" xfId="0" applyNumberFormat="1" applyAlignment="1">
      <alignment horizontal="left"/>
    </xf>
    <xf numFmtId="0" fontId="4" fillId="2" borderId="3" xfId="0" applyFont="1" applyFill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165" fontId="4" fillId="2" borderId="4" xfId="0" applyNumberFormat="1" applyFont="1" applyFill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6" fontId="0" fillId="5" borderId="0" xfId="0" applyNumberFormat="1" applyFill="1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 wrapText="1"/>
    </xf>
    <xf numFmtId="170" fontId="29" fillId="0" borderId="0" xfId="0" applyNumberFormat="1" applyFont="1"/>
    <xf numFmtId="8" fontId="29" fillId="0" borderId="0" xfId="0" applyNumberFormat="1" applyFont="1"/>
    <xf numFmtId="170" fontId="29" fillId="3" borderId="2" xfId="0" applyNumberFormat="1" applyFont="1" applyFill="1" applyBorder="1"/>
    <xf numFmtId="0" fontId="29" fillId="0" borderId="0" xfId="0" applyFont="1" applyAlignment="1">
      <alignment horizontal="center"/>
    </xf>
    <xf numFmtId="0" fontId="2" fillId="0" borderId="5" xfId="0" applyFont="1" applyBorder="1"/>
    <xf numFmtId="0" fontId="30" fillId="0" borderId="5" xfId="0" applyFont="1" applyBorder="1" applyAlignment="1">
      <alignment horizontal="center" wrapText="1"/>
    </xf>
    <xf numFmtId="0" fontId="29" fillId="0" borderId="5" xfId="0" applyFont="1" applyBorder="1"/>
    <xf numFmtId="170" fontId="29" fillId="0" borderId="5" xfId="0" applyNumberFormat="1" applyFont="1" applyBorder="1"/>
    <xf numFmtId="170" fontId="29" fillId="5" borderId="5" xfId="0" applyNumberFormat="1" applyFont="1" applyFill="1" applyBorder="1"/>
    <xf numFmtId="170" fontId="29" fillId="3" borderId="9" xfId="0" applyNumberFormat="1" applyFont="1" applyFill="1" applyBorder="1"/>
    <xf numFmtId="0" fontId="31" fillId="0" borderId="0" xfId="0" applyFont="1"/>
    <xf numFmtId="0" fontId="30" fillId="0" borderId="0" xfId="0" applyFont="1" applyAlignment="1">
      <alignment horizontal="center"/>
    </xf>
    <xf numFmtId="170" fontId="30" fillId="0" borderId="0" xfId="0" applyNumberFormat="1" applyFont="1" applyAlignment="1">
      <alignment horizontal="center"/>
    </xf>
    <xf numFmtId="44" fontId="29" fillId="0" borderId="0" xfId="4" applyNumberFormat="1" applyFont="1" applyAlignment="1">
      <alignment horizontal="center"/>
    </xf>
    <xf numFmtId="0" fontId="30" fillId="3" borderId="0" xfId="0" applyFont="1" applyFill="1" applyAlignment="1">
      <alignment horizontal="right"/>
    </xf>
    <xf numFmtId="170" fontId="30" fillId="3" borderId="0" xfId="0" applyNumberFormat="1" applyFont="1" applyFill="1" applyAlignment="1">
      <alignment horizontal="center"/>
    </xf>
    <xf numFmtId="0" fontId="30" fillId="3" borderId="0" xfId="0" applyFont="1" applyFill="1"/>
    <xf numFmtId="15" fontId="4" fillId="3" borderId="0" xfId="0" applyNumberFormat="1" applyFont="1" applyFill="1"/>
    <xf numFmtId="15" fontId="3" fillId="3" borderId="0" xfId="0" applyNumberFormat="1" applyFont="1" applyFill="1"/>
    <xf numFmtId="0" fontId="3" fillId="3" borderId="0" xfId="0" applyFont="1" applyFill="1"/>
    <xf numFmtId="170" fontId="32" fillId="3" borderId="0" xfId="0" applyNumberFormat="1" applyFont="1" applyFill="1" applyAlignment="1">
      <alignment horizontal="center"/>
    </xf>
  </cellXfs>
  <cellStyles count="5">
    <cellStyle name="Comma" xfId="4" builtinId="3"/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66"/>
      <color rgb="FF66FFFF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..\..\..\..\..\Local%20Settings\Temporary%20Internet%20Files\Content.Outlook\D1JHGI7C\CarRentals\RentalCars,com2013.jpg" TargetMode="External"/><Relationship Id="rId1" Type="http://schemas.openxmlformats.org/officeDocument/2006/relationships/hyperlink" Target="../../../../../../Local%20Settings/Temporary%20Internet%20Files/Content.Outlook/D1JHGI7C/2013_Flights/Jetabroad_flight_prices_to_Lyon_2.jp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ites.google.com/site/casabettybormio/appartamento-stell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workbookViewId="0">
      <selection activeCell="A14" sqref="A14"/>
    </sheetView>
  </sheetViews>
  <sheetFormatPr defaultRowHeight="12.75" x14ac:dyDescent="0.2"/>
  <cols>
    <col min="1" max="1" width="89.140625" customWidth="1"/>
    <col min="2" max="2" width="9.85546875" customWidth="1"/>
    <col min="3" max="3" width="9.42578125" customWidth="1"/>
    <col min="4" max="4" width="8.85546875" customWidth="1"/>
    <col min="5" max="5" width="8.7109375" customWidth="1"/>
    <col min="6" max="6" width="10.140625" customWidth="1"/>
    <col min="7" max="7" width="10" bestFit="1" customWidth="1"/>
    <col min="9" max="9" width="10" bestFit="1" customWidth="1"/>
  </cols>
  <sheetData>
    <row r="1" spans="1:6" ht="18" x14ac:dyDescent="0.25">
      <c r="A1" s="123" t="s">
        <v>130</v>
      </c>
    </row>
    <row r="2" spans="1:6" ht="18" x14ac:dyDescent="0.25">
      <c r="A2" s="8" t="s">
        <v>131</v>
      </c>
      <c r="B2" s="138">
        <v>21</v>
      </c>
    </row>
    <row r="3" spans="1:6" ht="15.75" x14ac:dyDescent="0.25">
      <c r="A3" s="8"/>
      <c r="B3" s="8"/>
    </row>
    <row r="4" spans="1:6" x14ac:dyDescent="0.2">
      <c r="A4" s="141" t="s">
        <v>119</v>
      </c>
      <c r="B4" s="137"/>
      <c r="C4" s="142">
        <v>0.63</v>
      </c>
    </row>
    <row r="5" spans="1:6" ht="25.5" x14ac:dyDescent="0.2">
      <c r="C5" s="153" t="s">
        <v>126</v>
      </c>
      <c r="D5" s="155" t="s">
        <v>123</v>
      </c>
      <c r="E5" s="154" t="s">
        <v>127</v>
      </c>
      <c r="F5" s="156" t="str">
        <f>D5</f>
        <v>TOTAL</v>
      </c>
    </row>
    <row r="6" spans="1:6" x14ac:dyDescent="0.2">
      <c r="A6" s="124" t="s">
        <v>120</v>
      </c>
      <c r="B6" s="143"/>
      <c r="C6" s="125"/>
      <c r="D6" s="126"/>
      <c r="E6" s="127"/>
      <c r="F6" s="132">
        <v>2400</v>
      </c>
    </row>
    <row r="7" spans="1:6" x14ac:dyDescent="0.2">
      <c r="A7" t="s">
        <v>124</v>
      </c>
      <c r="B7" s="3"/>
      <c r="C7" s="125"/>
      <c r="D7" s="126"/>
      <c r="E7" s="127">
        <v>220</v>
      </c>
      <c r="F7" s="132">
        <f>E7</f>
        <v>220</v>
      </c>
    </row>
    <row r="8" spans="1:6" x14ac:dyDescent="0.2">
      <c r="B8" s="3"/>
      <c r="C8" s="125"/>
      <c r="D8" s="126"/>
      <c r="E8" s="127"/>
      <c r="F8" s="132"/>
    </row>
    <row r="9" spans="1:6" x14ac:dyDescent="0.2">
      <c r="A9" s="124" t="s">
        <v>129</v>
      </c>
      <c r="B9" s="148">
        <v>850</v>
      </c>
      <c r="C9" s="130">
        <f>B9/4</f>
        <v>212.5</v>
      </c>
      <c r="D9" s="131">
        <f>C9</f>
        <v>212.5</v>
      </c>
      <c r="E9" s="127">
        <f>C9/C4</f>
        <v>337.30158730158729</v>
      </c>
      <c r="F9" s="132">
        <f>E9</f>
        <v>337.30158730158729</v>
      </c>
    </row>
    <row r="10" spans="1:6" x14ac:dyDescent="0.2">
      <c r="A10" s="124" t="s">
        <v>128</v>
      </c>
      <c r="B10" s="157"/>
      <c r="C10" s="130"/>
      <c r="D10" s="131"/>
      <c r="E10" s="127"/>
      <c r="F10" s="132"/>
    </row>
    <row r="11" spans="1:6" x14ac:dyDescent="0.2">
      <c r="A11" s="124"/>
      <c r="B11" s="143"/>
      <c r="C11" s="130"/>
      <c r="D11" s="131"/>
      <c r="E11" s="127"/>
      <c r="F11" s="132"/>
    </row>
    <row r="12" spans="1:6" x14ac:dyDescent="0.2">
      <c r="A12" s="35" t="s">
        <v>121</v>
      </c>
      <c r="B12" s="3"/>
      <c r="C12" s="125"/>
      <c r="D12" s="126"/>
      <c r="E12" s="129"/>
      <c r="F12" s="128"/>
    </row>
    <row r="13" spans="1:6" x14ac:dyDescent="0.2">
      <c r="A13" s="149">
        <v>20</v>
      </c>
      <c r="B13" s="144">
        <v>18</v>
      </c>
      <c r="C13" s="130">
        <f>A13</f>
        <v>20</v>
      </c>
      <c r="D13" s="131">
        <f>B13*C13</f>
        <v>360</v>
      </c>
      <c r="E13" s="127">
        <f>C13/$C$4</f>
        <v>31.746031746031747</v>
      </c>
      <c r="F13" s="132">
        <f>D13/$C$4</f>
        <v>571.42857142857144</v>
      </c>
    </row>
    <row r="14" spans="1:6" x14ac:dyDescent="0.2">
      <c r="A14" s="146">
        <v>25</v>
      </c>
      <c r="B14" s="144">
        <v>18</v>
      </c>
      <c r="C14" s="130">
        <f>A14</f>
        <v>25</v>
      </c>
      <c r="D14" s="131">
        <f>B14*C14</f>
        <v>450</v>
      </c>
      <c r="E14" s="127">
        <f t="shared" ref="E14:E15" si="0">C14/$C$4</f>
        <v>39.682539682539684</v>
      </c>
      <c r="F14" s="132">
        <f t="shared" ref="F14:F15" si="1">D14/$C$4</f>
        <v>714.28571428571433</v>
      </c>
    </row>
    <row r="15" spans="1:6" x14ac:dyDescent="0.2">
      <c r="A15" s="147">
        <v>20</v>
      </c>
      <c r="B15" s="144">
        <v>18</v>
      </c>
      <c r="C15" s="130">
        <f>A15</f>
        <v>20</v>
      </c>
      <c r="D15" s="131">
        <f>B15*C15</f>
        <v>360</v>
      </c>
      <c r="E15" s="127">
        <f t="shared" si="0"/>
        <v>31.746031746031747</v>
      </c>
      <c r="F15" s="132">
        <f t="shared" si="1"/>
        <v>571.42857142857144</v>
      </c>
    </row>
    <row r="16" spans="1:6" x14ac:dyDescent="0.2">
      <c r="B16" s="3"/>
      <c r="C16" s="130"/>
      <c r="D16" s="131"/>
      <c r="E16" s="127"/>
      <c r="F16" s="132"/>
    </row>
    <row r="17" spans="1:6" x14ac:dyDescent="0.2">
      <c r="A17" s="35" t="s">
        <v>122</v>
      </c>
      <c r="B17" s="3"/>
      <c r="C17" s="130"/>
      <c r="D17" s="131"/>
      <c r="E17" s="127"/>
      <c r="F17" s="132"/>
    </row>
    <row r="18" spans="1:6" x14ac:dyDescent="0.2">
      <c r="A18" s="150">
        <v>80</v>
      </c>
      <c r="B18" s="145">
        <v>3</v>
      </c>
      <c r="C18" s="139">
        <f>A18</f>
        <v>80</v>
      </c>
      <c r="D18" s="131">
        <f>B18*C18</f>
        <v>240</v>
      </c>
      <c r="E18" s="127">
        <f t="shared" ref="E18:E20" si="2">C18/$C$4</f>
        <v>126.98412698412699</v>
      </c>
      <c r="F18" s="132">
        <f>D18/$C$4</f>
        <v>380.95238095238096</v>
      </c>
    </row>
    <row r="19" spans="1:6" x14ac:dyDescent="0.2">
      <c r="A19" s="151">
        <v>75</v>
      </c>
      <c r="B19" s="145">
        <v>3</v>
      </c>
      <c r="C19" s="139">
        <f>A19</f>
        <v>75</v>
      </c>
      <c r="D19" s="131">
        <f>B19*C19</f>
        <v>225</v>
      </c>
      <c r="E19" s="127">
        <f t="shared" si="2"/>
        <v>119.04761904761905</v>
      </c>
      <c r="F19" s="132">
        <f t="shared" ref="F19:F20" si="3">D19/$C$4</f>
        <v>357.14285714285717</v>
      </c>
    </row>
    <row r="20" spans="1:6" x14ac:dyDescent="0.2">
      <c r="A20" s="152">
        <v>40</v>
      </c>
      <c r="B20" s="145">
        <v>3</v>
      </c>
      <c r="C20" s="134">
        <f>A20</f>
        <v>40</v>
      </c>
      <c r="D20" s="135">
        <f>B20*C20</f>
        <v>120</v>
      </c>
      <c r="E20" s="140">
        <f t="shared" si="2"/>
        <v>63.492063492063494</v>
      </c>
      <c r="F20" s="136">
        <f t="shared" si="3"/>
        <v>190.47619047619048</v>
      </c>
    </row>
    <row r="22" spans="1:6" x14ac:dyDescent="0.2">
      <c r="A22" s="35" t="s">
        <v>125</v>
      </c>
      <c r="F22" s="133">
        <f>SUM(F6:F21)</f>
        <v>5743.0158730158737</v>
      </c>
    </row>
    <row r="23" spans="1:6" x14ac:dyDescent="0.2">
      <c r="B23" s="35"/>
    </row>
  </sheetData>
  <hyperlinks>
    <hyperlink ref="A6" r:id="rId1" display="Return QANTAS flight if booked by mid-January for 'Early Bird' flights with 23kg check-in luggage (hire a carbon bicycle for 16 days in L' Bourg Oisan)"/>
    <hyperlink ref="A9" r:id="rId2" display="7 seater Peugeot 5008 (or similar) from rentalcars.com for 16 days collect at Grenoble on Tues 2 Sept and return Grenoble  Thurs 19 Sept"/>
  </hyperlinks>
  <pageMargins left="0.7" right="0.7" top="0.75" bottom="0.75" header="0.3" footer="0.3"/>
  <pageSetup paperSize="9" orientation="portrait" horizontalDpi="0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90" zoomScaleNormal="90" workbookViewId="0">
      <selection activeCell="B20" sqref="B20:E23"/>
    </sheetView>
  </sheetViews>
  <sheetFormatPr defaultRowHeight="12.75" x14ac:dyDescent="0.2"/>
  <cols>
    <col min="1" max="1" width="3.28515625" customWidth="1"/>
    <col min="2" max="2" width="35" customWidth="1"/>
    <col min="3" max="3" width="13.7109375" customWidth="1"/>
    <col min="4" max="4" width="14.28515625" customWidth="1"/>
    <col min="5" max="5" width="12.140625" customWidth="1"/>
    <col min="6" max="6" width="11.28515625" customWidth="1"/>
    <col min="7" max="7" width="13.42578125" customWidth="1"/>
    <col min="8" max="8" width="13.28515625" customWidth="1"/>
    <col min="9" max="9" width="11.85546875" customWidth="1"/>
    <col min="10" max="10" width="13.7109375" customWidth="1"/>
    <col min="11" max="11" width="12.7109375" customWidth="1"/>
    <col min="12" max="12" width="12.5703125" customWidth="1"/>
    <col min="13" max="13" width="13.7109375" customWidth="1"/>
    <col min="15" max="15" width="11" bestFit="1" customWidth="1"/>
  </cols>
  <sheetData>
    <row r="1" spans="1:15" x14ac:dyDescent="0.2">
      <c r="B1">
        <v>0.83</v>
      </c>
      <c r="C1" t="s">
        <v>18</v>
      </c>
    </row>
    <row r="2" spans="1:15" ht="18" x14ac:dyDescent="0.25">
      <c r="B2" s="158" t="s">
        <v>132</v>
      </c>
    </row>
    <row r="3" spans="1:15" x14ac:dyDescent="0.2">
      <c r="B3" s="35" t="s">
        <v>19</v>
      </c>
      <c r="C3" s="35" t="s">
        <v>28</v>
      </c>
      <c r="D3" s="35" t="s">
        <v>27</v>
      </c>
      <c r="E3" s="7" t="s">
        <v>97</v>
      </c>
      <c r="F3" s="7" t="s">
        <v>98</v>
      </c>
      <c r="G3" s="7" t="s">
        <v>99</v>
      </c>
      <c r="H3" s="7" t="s">
        <v>100</v>
      </c>
      <c r="I3" s="35"/>
      <c r="J3" s="35" t="s">
        <v>93</v>
      </c>
      <c r="K3" s="35" t="s">
        <v>94</v>
      </c>
      <c r="L3" s="35" t="s">
        <v>95</v>
      </c>
      <c r="M3" s="35" t="s">
        <v>96</v>
      </c>
    </row>
    <row r="4" spans="1:15" x14ac:dyDescent="0.2">
      <c r="D4" s="91" t="s">
        <v>104</v>
      </c>
      <c r="E4" s="33"/>
      <c r="F4" s="33"/>
      <c r="G4" s="33"/>
      <c r="H4" s="33"/>
      <c r="I4" s="33"/>
      <c r="K4" s="11"/>
    </row>
    <row r="5" spans="1:15" x14ac:dyDescent="0.2">
      <c r="A5">
        <v>1</v>
      </c>
      <c r="B5" t="s">
        <v>103</v>
      </c>
      <c r="C5" s="6">
        <f>Accommodation_Italy!Q6</f>
        <v>600</v>
      </c>
      <c r="D5" s="15">
        <f>Accommodation_Italy!R8</f>
        <v>939.78421701602952</v>
      </c>
      <c r="E5" s="33"/>
      <c r="F5" s="33">
        <f>D5</f>
        <v>939.78421701602952</v>
      </c>
      <c r="G5" s="33"/>
      <c r="H5" s="33"/>
      <c r="I5" s="33"/>
      <c r="J5" s="33">
        <f>-F5/4</f>
        <v>-234.94605425400738</v>
      </c>
      <c r="K5" s="33">
        <f>F5/4*3</f>
        <v>704.83816276202219</v>
      </c>
      <c r="L5" s="33">
        <f>-F5/4</f>
        <v>-234.94605425400738</v>
      </c>
      <c r="M5" s="33">
        <f>-F5/4</f>
        <v>-234.94605425400738</v>
      </c>
      <c r="O5" s="88">
        <f>J5+L5+M5</f>
        <v>-704.83816276202219</v>
      </c>
    </row>
    <row r="6" spans="1:15" x14ac:dyDescent="0.2">
      <c r="A6">
        <v>2</v>
      </c>
      <c r="B6" t="s">
        <v>105</v>
      </c>
      <c r="C6" s="6">
        <f>Accommodation_Italy!Q14</f>
        <v>80</v>
      </c>
      <c r="D6" s="15">
        <f>Accommodation_Italy!R16</f>
        <v>141.18296529968455</v>
      </c>
      <c r="E6" s="33"/>
      <c r="F6" s="33">
        <f>D6</f>
        <v>141.18296529968455</v>
      </c>
      <c r="G6" s="33"/>
      <c r="H6" s="33"/>
      <c r="I6" s="33"/>
      <c r="J6" s="33">
        <f>-F6/4</f>
        <v>-35.295741324921138</v>
      </c>
      <c r="K6" s="33">
        <f>F6/4*3</f>
        <v>105.88722397476342</v>
      </c>
      <c r="L6" s="33">
        <f>-F6/4</f>
        <v>-35.295741324921138</v>
      </c>
      <c r="M6" s="33">
        <f>-F6/4</f>
        <v>-35.295741324921138</v>
      </c>
      <c r="O6" s="88">
        <f>J6+L6+M6</f>
        <v>-105.88722397476342</v>
      </c>
    </row>
    <row r="7" spans="1:15" x14ac:dyDescent="0.2">
      <c r="A7">
        <v>3</v>
      </c>
      <c r="B7" t="s">
        <v>102</v>
      </c>
      <c r="C7" s="6">
        <f>Accommodation_Italy!Q23</f>
        <v>200</v>
      </c>
      <c r="D7" s="15">
        <f>Accommodation_Italy!R25</f>
        <v>326.76929072486359</v>
      </c>
      <c r="E7" s="33"/>
      <c r="F7" s="33">
        <f>D7</f>
        <v>326.76929072486359</v>
      </c>
      <c r="G7" s="33"/>
      <c r="H7" s="33"/>
      <c r="I7" s="33"/>
      <c r="J7" s="33">
        <f>-F7/4</f>
        <v>-81.692322681215899</v>
      </c>
      <c r="K7" s="33">
        <f>F7/4*3</f>
        <v>245.0769680436477</v>
      </c>
      <c r="L7" s="33">
        <f>-F7/4</f>
        <v>-81.692322681215899</v>
      </c>
      <c r="M7" s="33">
        <f>-F7/4</f>
        <v>-81.692322681215899</v>
      </c>
      <c r="N7" s="10"/>
      <c r="O7" s="88">
        <f>J7+L7+M7</f>
        <v>-245.0769680436477</v>
      </c>
    </row>
    <row r="8" spans="1:15" x14ac:dyDescent="0.2">
      <c r="D8" s="15"/>
      <c r="E8" s="33"/>
      <c r="F8" s="33"/>
      <c r="G8" s="33"/>
      <c r="H8" s="33"/>
      <c r="I8" s="33"/>
      <c r="J8" s="33"/>
      <c r="K8" s="33"/>
      <c r="L8" s="33"/>
      <c r="M8" s="33"/>
      <c r="O8" s="89"/>
    </row>
    <row r="9" spans="1:15" ht="13.5" thickBot="1" x14ac:dyDescent="0.25">
      <c r="A9" t="s">
        <v>30</v>
      </c>
      <c r="D9" s="15">
        <f>SUM(D5:D8)</f>
        <v>1407.7364730405777</v>
      </c>
      <c r="E9" t="s">
        <v>2</v>
      </c>
      <c r="F9" s="33">
        <f>SUM(F5:F8)</f>
        <v>1407.7364730405777</v>
      </c>
      <c r="J9" s="43">
        <f>SUM(J4:J7)</f>
        <v>-351.93411826014443</v>
      </c>
      <c r="K9" s="43">
        <f>SUM(K4:K7)</f>
        <v>1055.8023547804332</v>
      </c>
      <c r="L9" s="43">
        <f>SUM(L4:L7)</f>
        <v>-351.93411826014443</v>
      </c>
      <c r="M9" s="43">
        <f>SUM(M4:M7)</f>
        <v>-351.93411826014443</v>
      </c>
      <c r="O9" s="88">
        <f>O5+O7</f>
        <v>-949.91513080566983</v>
      </c>
    </row>
    <row r="10" spans="1:15" ht="13.5" thickTop="1" x14ac:dyDescent="0.2">
      <c r="D10" s="103">
        <v>4</v>
      </c>
    </row>
    <row r="11" spans="1:15" x14ac:dyDescent="0.2">
      <c r="N11" s="33">
        <f>SUM(J9:M9)</f>
        <v>0</v>
      </c>
      <c r="O11" s="3" t="s">
        <v>101</v>
      </c>
    </row>
    <row r="12" spans="1:15" x14ac:dyDescent="0.2">
      <c r="D12" s="15">
        <f>Accommodation_Italy!R34</f>
        <v>351.93411826014443</v>
      </c>
      <c r="F12" s="90">
        <v>0.75</v>
      </c>
    </row>
    <row r="13" spans="1:15" x14ac:dyDescent="0.2">
      <c r="F13" s="88">
        <f>F5/4*3</f>
        <v>704.83816276202219</v>
      </c>
    </row>
    <row r="14" spans="1:15" x14ac:dyDescent="0.2">
      <c r="F14" s="88">
        <f>F6/4*3</f>
        <v>105.88722397476342</v>
      </c>
    </row>
    <row r="15" spans="1:15" x14ac:dyDescent="0.2">
      <c r="F15" s="88">
        <f>F7/4*3</f>
        <v>245.0769680436477</v>
      </c>
    </row>
    <row r="16" spans="1:15" x14ac:dyDescent="0.2">
      <c r="F16" s="89"/>
    </row>
    <row r="17" spans="2:6" x14ac:dyDescent="0.2">
      <c r="F17" s="88">
        <f>F9/4*3</f>
        <v>1055.8023547804332</v>
      </c>
    </row>
    <row r="20" spans="2:6" ht="15.75" x14ac:dyDescent="0.25">
      <c r="B20" s="176" t="s">
        <v>141</v>
      </c>
      <c r="C20" s="177">
        <f>-J9</f>
        <v>351.93411826014443</v>
      </c>
      <c r="D20" s="178" t="s">
        <v>146</v>
      </c>
      <c r="E20" s="179">
        <v>41729</v>
      </c>
    </row>
    <row r="21" spans="2:6" ht="15.75" x14ac:dyDescent="0.25">
      <c r="B21" s="176" t="s">
        <v>143</v>
      </c>
      <c r="C21" s="177">
        <f>-L9</f>
        <v>351.93411826014443</v>
      </c>
      <c r="D21" s="178" t="s">
        <v>146</v>
      </c>
      <c r="E21" s="179">
        <v>41666</v>
      </c>
    </row>
    <row r="22" spans="2:6" ht="15.75" x14ac:dyDescent="0.25">
      <c r="B22" s="176" t="s">
        <v>144</v>
      </c>
      <c r="C22" s="177">
        <f>-M9</f>
        <v>351.93411826014443</v>
      </c>
      <c r="D22" s="178" t="s">
        <v>146</v>
      </c>
      <c r="E22" s="179">
        <v>41663</v>
      </c>
    </row>
    <row r="23" spans="2:6" ht="15.75" x14ac:dyDescent="0.25">
      <c r="B23" s="97"/>
      <c r="C23" s="177">
        <f>SUM(C20:C22)</f>
        <v>1055.8023547804332</v>
      </c>
      <c r="D23" s="97"/>
      <c r="E23" s="137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90" zoomScaleNormal="90" workbookViewId="0">
      <selection activeCell="P20" sqref="P20"/>
    </sheetView>
  </sheetViews>
  <sheetFormatPr defaultRowHeight="12.75" x14ac:dyDescent="0.2"/>
  <cols>
    <col min="1" max="1" width="3.28515625" customWidth="1"/>
    <col min="2" max="2" width="32.7109375" customWidth="1"/>
    <col min="3" max="3" width="11.42578125" style="3" customWidth="1"/>
    <col min="4" max="4" width="9.5703125" customWidth="1"/>
    <col min="5" max="5" width="9.7109375" customWidth="1"/>
    <col min="6" max="6" width="9.28515625" hidden="1" customWidth="1"/>
    <col min="7" max="7" width="9.140625" hidden="1" customWidth="1"/>
    <col min="8" max="8" width="10.5703125" hidden="1" customWidth="1"/>
    <col min="9" max="9" width="9.5703125" customWidth="1"/>
    <col min="10" max="10" width="10.85546875" customWidth="1"/>
    <col min="11" max="12" width="9.140625" customWidth="1"/>
    <col min="15" max="15" width="9.140625" customWidth="1"/>
  </cols>
  <sheetData>
    <row r="1" spans="1:15" x14ac:dyDescent="0.2">
      <c r="B1" t="s">
        <v>2</v>
      </c>
      <c r="D1" s="129"/>
      <c r="I1" s="129"/>
      <c r="O1" s="129"/>
    </row>
    <row r="2" spans="1:15" ht="18.75" x14ac:dyDescent="0.3">
      <c r="A2" s="1"/>
      <c r="B2" s="158" t="s">
        <v>133</v>
      </c>
      <c r="C2" s="4"/>
      <c r="D2" s="166"/>
      <c r="E2" s="1"/>
      <c r="F2" s="1"/>
      <c r="G2" s="1"/>
      <c r="H2" s="1"/>
      <c r="I2" s="166"/>
      <c r="J2" s="1"/>
      <c r="K2" s="1"/>
      <c r="L2" s="1"/>
      <c r="M2" s="1"/>
      <c r="N2" s="1"/>
      <c r="O2" s="166"/>
    </row>
    <row r="3" spans="1:15" ht="33.75" customHeight="1" x14ac:dyDescent="0.25">
      <c r="A3" s="159"/>
      <c r="B3" s="160" t="s">
        <v>19</v>
      </c>
      <c r="C3" s="173" t="s">
        <v>27</v>
      </c>
      <c r="D3" s="167" t="s">
        <v>97</v>
      </c>
      <c r="E3" s="161" t="s">
        <v>98</v>
      </c>
      <c r="F3" s="161" t="s">
        <v>99</v>
      </c>
      <c r="G3" s="161" t="s">
        <v>100</v>
      </c>
      <c r="H3" s="161" t="s">
        <v>136</v>
      </c>
      <c r="I3" s="167" t="s">
        <v>93</v>
      </c>
      <c r="J3" s="161" t="s">
        <v>94</v>
      </c>
      <c r="K3" s="161" t="s">
        <v>139</v>
      </c>
      <c r="L3" s="161" t="s">
        <v>96</v>
      </c>
      <c r="M3" s="161" t="s">
        <v>137</v>
      </c>
      <c r="N3" s="161" t="s">
        <v>138</v>
      </c>
      <c r="O3" s="168"/>
    </row>
    <row r="4" spans="1:15" ht="15.75" x14ac:dyDescent="0.25">
      <c r="A4" s="159"/>
      <c r="B4" s="159"/>
      <c r="C4" s="174" t="s">
        <v>2</v>
      </c>
      <c r="D4" s="169"/>
      <c r="E4" s="162"/>
      <c r="F4" s="162"/>
      <c r="G4" s="162"/>
      <c r="H4" s="162"/>
      <c r="I4" s="168"/>
      <c r="J4" s="163"/>
      <c r="K4" s="159"/>
      <c r="L4" s="159"/>
      <c r="M4" s="159"/>
      <c r="N4" s="159"/>
      <c r="O4" s="168"/>
    </row>
    <row r="5" spans="1:15" ht="15.75" x14ac:dyDescent="0.25">
      <c r="A5" s="159">
        <v>1</v>
      </c>
      <c r="B5" s="159" t="s">
        <v>134</v>
      </c>
      <c r="C5" s="175">
        <v>751.97</v>
      </c>
      <c r="D5" s="169"/>
      <c r="E5" s="162">
        <f>C5</f>
        <v>751.97</v>
      </c>
      <c r="F5" s="162"/>
      <c r="G5" s="162"/>
      <c r="H5" s="162"/>
      <c r="I5" s="169">
        <f>-E5/5</f>
        <v>-150.39400000000001</v>
      </c>
      <c r="J5" s="162">
        <f>E5/5*4</f>
        <v>601.57600000000002</v>
      </c>
      <c r="K5" s="162">
        <f>-E5/5</f>
        <v>-150.39400000000001</v>
      </c>
      <c r="L5" s="162">
        <f>-E5/5</f>
        <v>-150.39400000000001</v>
      </c>
      <c r="M5" s="162">
        <f>-E5/5</f>
        <v>-150.39400000000001</v>
      </c>
      <c r="N5" s="162"/>
      <c r="O5" s="170">
        <f>I5+K5+L5+M5</f>
        <v>-601.57600000000002</v>
      </c>
    </row>
    <row r="6" spans="1:15" ht="15.75" x14ac:dyDescent="0.25">
      <c r="A6" s="159">
        <v>2</v>
      </c>
      <c r="B6" s="159" t="s">
        <v>135</v>
      </c>
      <c r="C6" s="175">
        <f>1964.27+266.18</f>
        <v>2230.4499999999998</v>
      </c>
      <c r="D6" s="169">
        <f>C6</f>
        <v>2230.4499999999998</v>
      </c>
      <c r="E6" s="162"/>
      <c r="F6" s="162"/>
      <c r="G6" s="162"/>
      <c r="H6" s="162"/>
      <c r="I6" s="169">
        <f>D6/6*5</f>
        <v>1858.708333333333</v>
      </c>
      <c r="J6" s="162">
        <f>-D6/6</f>
        <v>-371.74166666666662</v>
      </c>
      <c r="K6" s="162">
        <f>-D6/6</f>
        <v>-371.74166666666662</v>
      </c>
      <c r="L6" s="162">
        <f>-D6/6</f>
        <v>-371.74166666666662</v>
      </c>
      <c r="M6" s="162">
        <f>-D6/6</f>
        <v>-371.74166666666662</v>
      </c>
      <c r="N6" s="162">
        <f>-D6/6</f>
        <v>-371.74166666666662</v>
      </c>
      <c r="O6" s="170">
        <f>J6+K6+L6+M6+N6</f>
        <v>-1858.708333333333</v>
      </c>
    </row>
    <row r="7" spans="1:15" ht="15.75" x14ac:dyDescent="0.25">
      <c r="A7" s="159"/>
      <c r="B7" s="159"/>
      <c r="C7" s="175"/>
      <c r="D7" s="169"/>
      <c r="E7" s="162"/>
      <c r="F7" s="162"/>
      <c r="G7" s="162"/>
      <c r="H7" s="162"/>
      <c r="I7" s="169"/>
      <c r="J7" s="162"/>
      <c r="K7" s="162"/>
      <c r="L7" s="162"/>
      <c r="M7" s="159"/>
      <c r="N7" s="159"/>
      <c r="O7" s="169"/>
    </row>
    <row r="8" spans="1:15" ht="16.5" thickBot="1" x14ac:dyDescent="0.3">
      <c r="A8" s="159" t="s">
        <v>30</v>
      </c>
      <c r="B8" s="159"/>
      <c r="C8" s="175">
        <f>SUM(C5:C7)</f>
        <v>2982.42</v>
      </c>
      <c r="D8" s="168" t="s">
        <v>2</v>
      </c>
      <c r="E8" s="162"/>
      <c r="F8" s="159"/>
      <c r="G8" s="159"/>
      <c r="H8" s="159"/>
      <c r="I8" s="171">
        <f t="shared" ref="I8:N8" si="0">SUM(I4:I6)</f>
        <v>1708.314333333333</v>
      </c>
      <c r="J8" s="164">
        <f t="shared" si="0"/>
        <v>229.8343333333334</v>
      </c>
      <c r="K8" s="164">
        <f t="shared" si="0"/>
        <v>-522.13566666666657</v>
      </c>
      <c r="L8" s="164">
        <f t="shared" si="0"/>
        <v>-522.13566666666657</v>
      </c>
      <c r="M8" s="164">
        <f t="shared" si="0"/>
        <v>-522.13566666666657</v>
      </c>
      <c r="N8" s="164">
        <f t="shared" si="0"/>
        <v>-371.74166666666662</v>
      </c>
      <c r="O8" s="170">
        <f>I8+J8+K8+L8+M8+N8</f>
        <v>0</v>
      </c>
    </row>
    <row r="9" spans="1:15" ht="16.5" thickTop="1" x14ac:dyDescent="0.25">
      <c r="A9" s="159"/>
      <c r="B9" s="159"/>
      <c r="C9" s="165"/>
      <c r="D9" s="168"/>
      <c r="E9" s="159"/>
      <c r="F9" s="159"/>
      <c r="G9" s="159"/>
      <c r="H9" s="159"/>
      <c r="I9" s="168"/>
      <c r="J9" s="159"/>
      <c r="K9" s="159"/>
      <c r="L9" s="159"/>
      <c r="M9" s="159"/>
      <c r="N9" s="159"/>
      <c r="O9" s="169"/>
    </row>
    <row r="10" spans="1:15" ht="15.75" x14ac:dyDescent="0.25">
      <c r="A10" s="159"/>
      <c r="B10" s="159"/>
      <c r="C10" s="175"/>
      <c r="D10" s="168"/>
      <c r="E10" s="159"/>
      <c r="F10" s="159"/>
      <c r="G10" s="159"/>
      <c r="H10" s="159"/>
      <c r="I10" s="168"/>
      <c r="J10" s="159"/>
      <c r="K10" s="159"/>
      <c r="L10" s="159"/>
      <c r="M10" s="172"/>
      <c r="N10" s="172"/>
      <c r="O10" s="169"/>
    </row>
    <row r="11" spans="1:15" ht="16.5" x14ac:dyDescent="0.3">
      <c r="A11" s="1"/>
      <c r="B11" s="1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6.5" x14ac:dyDescent="0.3">
      <c r="A12" s="1"/>
      <c r="B12" s="176" t="s">
        <v>140</v>
      </c>
      <c r="C12" s="177">
        <f>J8</f>
        <v>229.8343333333334</v>
      </c>
      <c r="D12" s="178" t="s">
        <v>145</v>
      </c>
      <c r="E12" s="180">
        <v>41775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6" customHeight="1" x14ac:dyDescent="0.3">
      <c r="A13" s="1"/>
      <c r="B13" s="176"/>
      <c r="C13" s="177"/>
      <c r="D13" s="178"/>
      <c r="E13" s="18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6.5" x14ac:dyDescent="0.3">
      <c r="A14" s="1"/>
      <c r="B14" s="176" t="s">
        <v>140</v>
      </c>
      <c r="C14" s="177">
        <f>-N8-C12</f>
        <v>141.90733333333321</v>
      </c>
      <c r="D14" s="178" t="s">
        <v>148</v>
      </c>
      <c r="E14" s="18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6.5" x14ac:dyDescent="0.3">
      <c r="A15" s="1"/>
      <c r="B15" s="176" t="s">
        <v>142</v>
      </c>
      <c r="C15" s="177">
        <f>-K8</f>
        <v>522.13566666666657</v>
      </c>
      <c r="D15" s="178" t="s">
        <v>148</v>
      </c>
      <c r="E15" s="18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6.5" x14ac:dyDescent="0.3">
      <c r="A16" s="1"/>
      <c r="B16" s="176" t="s">
        <v>144</v>
      </c>
      <c r="C16" s="177">
        <f>-L8</f>
        <v>522.13566666666657</v>
      </c>
      <c r="D16" s="178" t="str">
        <f>D15</f>
        <v>to Scott on</v>
      </c>
      <c r="E16" s="18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5" ht="15.75" x14ac:dyDescent="0.25">
      <c r="B17" s="176" t="s">
        <v>147</v>
      </c>
      <c r="C17" s="182">
        <f>-M8</f>
        <v>522.13566666666657</v>
      </c>
      <c r="D17" s="178" t="str">
        <f>D16</f>
        <v>to Scott on</v>
      </c>
      <c r="E17" s="137"/>
    </row>
    <row r="18" spans="2:5" ht="15.75" x14ac:dyDescent="0.25">
      <c r="B18" s="97"/>
      <c r="C18" s="177">
        <f>SUM(C14:C17)</f>
        <v>1708.3143333333328</v>
      </c>
      <c r="D18" s="97"/>
      <c r="E18" s="137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V2" sqref="V2"/>
    </sheetView>
  </sheetViews>
  <sheetFormatPr defaultRowHeight="12.75" x14ac:dyDescent="0.2"/>
  <cols>
    <col min="1" max="1" width="4.42578125" customWidth="1"/>
    <col min="2" max="3" width="5.28515625" style="3" customWidth="1"/>
    <col min="4" max="4" width="10.5703125" style="3" customWidth="1"/>
    <col min="5" max="5" width="6.28515625" style="3" customWidth="1"/>
    <col min="6" max="6" width="16.140625" style="3" customWidth="1"/>
    <col min="7" max="7" width="10.85546875" style="3" customWidth="1"/>
    <col min="8" max="8" width="13.85546875" style="3" customWidth="1"/>
    <col min="9" max="9" width="8.85546875" customWidth="1"/>
    <col min="10" max="10" width="7.5703125" style="3" customWidth="1"/>
    <col min="11" max="11" width="9.28515625" customWidth="1"/>
    <col min="12" max="12" width="6.5703125" customWidth="1"/>
    <col min="13" max="13" width="9.28515625" customWidth="1"/>
    <col min="14" max="14" width="6.5703125" customWidth="1"/>
    <col min="15" max="15" width="8.28515625" customWidth="1"/>
    <col min="16" max="16" width="6.42578125" customWidth="1"/>
    <col min="17" max="17" width="7.7109375" customWidth="1"/>
    <col min="18" max="18" width="9.42578125" customWidth="1"/>
    <col min="19" max="19" width="8.85546875" customWidth="1"/>
    <col min="20" max="20" width="6.5703125" customWidth="1"/>
    <col min="21" max="21" width="9.140625" style="3" customWidth="1"/>
    <col min="22" max="22" width="8.140625" customWidth="1"/>
    <col min="23" max="23" width="8.5703125" customWidth="1"/>
  </cols>
  <sheetData>
    <row r="1" spans="1:25" s="35" customFormat="1" ht="57" customHeight="1" x14ac:dyDescent="0.2">
      <c r="A1" s="76" t="s">
        <v>48</v>
      </c>
      <c r="B1" s="75" t="s">
        <v>47</v>
      </c>
      <c r="C1" s="75" t="s">
        <v>75</v>
      </c>
      <c r="D1" s="79" t="s">
        <v>1</v>
      </c>
      <c r="E1" s="75" t="s">
        <v>0</v>
      </c>
      <c r="F1" s="75" t="s">
        <v>46</v>
      </c>
      <c r="G1" s="72"/>
      <c r="H1" s="77">
        <v>1628</v>
      </c>
      <c r="I1" s="75" t="s">
        <v>44</v>
      </c>
      <c r="J1" s="75" t="s">
        <v>49</v>
      </c>
      <c r="K1" s="75" t="s">
        <v>45</v>
      </c>
      <c r="L1" s="75" t="s">
        <v>43</v>
      </c>
      <c r="M1" s="75" t="s">
        <v>53</v>
      </c>
      <c r="N1" s="75" t="s">
        <v>55</v>
      </c>
      <c r="O1" s="75" t="s">
        <v>54</v>
      </c>
      <c r="P1" s="75" t="s">
        <v>67</v>
      </c>
      <c r="Q1" s="75" t="s">
        <v>52</v>
      </c>
      <c r="R1" s="75" t="s">
        <v>56</v>
      </c>
      <c r="S1" s="75" t="s">
        <v>59</v>
      </c>
      <c r="T1" s="75" t="s">
        <v>60</v>
      </c>
      <c r="U1" s="75" t="s">
        <v>88</v>
      </c>
      <c r="V1" s="75" t="s">
        <v>89</v>
      </c>
      <c r="W1" s="70"/>
      <c r="X1" s="17"/>
      <c r="Y1" s="17"/>
    </row>
    <row r="2" spans="1:25" ht="49.5" x14ac:dyDescent="0.3">
      <c r="A2" s="1"/>
      <c r="B2" s="4"/>
      <c r="C2" s="4">
        <v>1</v>
      </c>
      <c r="D2" s="46">
        <f>I2</f>
        <v>41862</v>
      </c>
      <c r="E2" s="4" t="str">
        <f>TEXT(D2,"ddd")</f>
        <v>Mon</v>
      </c>
      <c r="F2" s="45"/>
      <c r="G2" s="45" t="s">
        <v>57</v>
      </c>
      <c r="H2" s="45" t="s">
        <v>58</v>
      </c>
      <c r="I2" s="48">
        <v>41862</v>
      </c>
      <c r="J2" s="49" t="str">
        <f>TEXT(I2,"ddd")</f>
        <v>Mon</v>
      </c>
      <c r="K2" s="50">
        <v>0.67013888888888884</v>
      </c>
      <c r="L2" s="51" t="s">
        <v>51</v>
      </c>
      <c r="W2" s="54" t="s">
        <v>2</v>
      </c>
      <c r="X2" s="1"/>
      <c r="Y2" s="1"/>
    </row>
    <row r="3" spans="1:25" ht="29.25" customHeight="1" x14ac:dyDescent="0.3">
      <c r="A3" s="55" t="s">
        <v>5</v>
      </c>
      <c r="B3" s="4">
        <f>COUNTIF(A3:A3,"1st")</f>
        <v>1</v>
      </c>
      <c r="C3" s="4">
        <v>2</v>
      </c>
      <c r="D3" s="56">
        <f>M3</f>
        <v>41863</v>
      </c>
      <c r="E3" s="4" t="str">
        <f>TEXT(D3,"ddd")</f>
        <v>Tue</v>
      </c>
      <c r="F3" s="45"/>
      <c r="G3" s="4"/>
      <c r="H3" s="45" t="s">
        <v>2</v>
      </c>
      <c r="I3" s="48"/>
      <c r="J3" s="49"/>
      <c r="K3" s="50"/>
      <c r="L3" s="67" t="s">
        <v>2</v>
      </c>
      <c r="M3" s="66">
        <f>I2+1</f>
        <v>41863</v>
      </c>
      <c r="N3" s="46" t="str">
        <f>TEXT(M3,"ddd")</f>
        <v>Tue</v>
      </c>
      <c r="O3" s="52">
        <v>2.4305555555555556E-2</v>
      </c>
      <c r="P3" s="57">
        <f>Q3-O3</f>
        <v>0.12847222222222221</v>
      </c>
      <c r="Q3" s="52">
        <v>0.15277777777777776</v>
      </c>
      <c r="R3" s="52">
        <v>0.35069444444444442</v>
      </c>
      <c r="S3" s="66">
        <f>M3</f>
        <v>41863</v>
      </c>
      <c r="T3" s="66" t="str">
        <f>TEXT(S3,"ddd")</f>
        <v>Tue</v>
      </c>
      <c r="U3" s="68">
        <v>0.4375</v>
      </c>
      <c r="V3" s="68">
        <v>0.625</v>
      </c>
      <c r="W3" s="54"/>
      <c r="X3" s="1"/>
      <c r="Y3" s="1"/>
    </row>
    <row r="4" spans="1:25" ht="16.5" x14ac:dyDescent="0.3">
      <c r="A4" s="55" t="s">
        <v>5</v>
      </c>
      <c r="B4" s="4">
        <f>COUNTIF(A3:A4,"1st")</f>
        <v>2</v>
      </c>
      <c r="C4" s="4">
        <v>3</v>
      </c>
      <c r="D4" s="56">
        <f>D3+1</f>
        <v>41864</v>
      </c>
      <c r="E4" s="4" t="str">
        <f t="shared" ref="E4:E26" si="0">TEXT(D4,"ddd")</f>
        <v>Wed</v>
      </c>
      <c r="F4" s="58">
        <v>1</v>
      </c>
      <c r="G4" s="4"/>
      <c r="H4" s="4"/>
      <c r="I4" s="2"/>
      <c r="J4" s="46"/>
      <c r="K4" s="59"/>
      <c r="L4" s="60"/>
      <c r="M4" s="60"/>
      <c r="N4" s="60"/>
      <c r="O4" s="60"/>
      <c r="Q4" s="1"/>
      <c r="R4" s="60"/>
      <c r="S4" s="60"/>
      <c r="T4" s="60"/>
      <c r="U4" s="53"/>
      <c r="V4" s="1"/>
      <c r="W4" s="1"/>
      <c r="X4" s="1"/>
      <c r="Y4" s="1"/>
    </row>
    <row r="5" spans="1:25" ht="16.5" x14ac:dyDescent="0.3">
      <c r="A5" s="55" t="s">
        <v>5</v>
      </c>
      <c r="B5" s="4">
        <f>COUNTIF(A3:A5,"1st")</f>
        <v>3</v>
      </c>
      <c r="C5" s="4">
        <v>4</v>
      </c>
      <c r="D5" s="56">
        <f>D4+1</f>
        <v>41865</v>
      </c>
      <c r="E5" s="4" t="str">
        <f t="shared" si="0"/>
        <v>Thu</v>
      </c>
      <c r="F5" s="58">
        <v>2</v>
      </c>
      <c r="G5" s="4"/>
      <c r="H5" s="4"/>
      <c r="I5" s="2"/>
      <c r="J5" s="46"/>
      <c r="K5" s="59"/>
      <c r="L5" s="60"/>
      <c r="M5" s="60"/>
      <c r="N5" s="60"/>
      <c r="O5" s="60"/>
      <c r="P5" s="60"/>
      <c r="Q5" s="60"/>
      <c r="R5" s="60"/>
      <c r="S5" s="60"/>
      <c r="T5" s="60"/>
      <c r="U5" s="53"/>
      <c r="V5" s="1"/>
      <c r="W5" s="1"/>
      <c r="X5" s="1"/>
      <c r="Y5" s="1"/>
    </row>
    <row r="6" spans="1:25" ht="16.5" x14ac:dyDescent="0.3">
      <c r="A6" s="55" t="s">
        <v>5</v>
      </c>
      <c r="B6" s="4">
        <f>COUNTIF(A3:A6,"1st")</f>
        <v>4</v>
      </c>
      <c r="C6" s="4">
        <v>5</v>
      </c>
      <c r="D6" s="56">
        <f>D5+1</f>
        <v>41866</v>
      </c>
      <c r="E6" s="4" t="str">
        <f t="shared" si="0"/>
        <v>Fri</v>
      </c>
      <c r="F6" s="58">
        <v>3</v>
      </c>
      <c r="G6" s="4"/>
      <c r="H6" s="4"/>
      <c r="I6" s="2"/>
      <c r="J6" s="46"/>
      <c r="K6" s="59"/>
      <c r="L6" s="60"/>
      <c r="M6" s="60"/>
      <c r="N6" s="60"/>
      <c r="O6" s="60"/>
      <c r="P6" s="60"/>
      <c r="Q6" s="60"/>
      <c r="R6" s="60"/>
      <c r="S6" s="60"/>
      <c r="T6" s="60"/>
      <c r="U6" s="53"/>
      <c r="V6" s="1"/>
      <c r="W6" s="1"/>
      <c r="X6" s="1"/>
      <c r="Y6" s="1"/>
    </row>
    <row r="7" spans="1:25" ht="16.5" x14ac:dyDescent="0.3">
      <c r="A7" s="55" t="s">
        <v>5</v>
      </c>
      <c r="B7" s="4">
        <f>COUNTIF(A3:A7,"1st")</f>
        <v>5</v>
      </c>
      <c r="C7" s="4">
        <v>6</v>
      </c>
      <c r="D7" s="56">
        <f>D6+1</f>
        <v>41867</v>
      </c>
      <c r="E7" s="4" t="str">
        <f t="shared" si="0"/>
        <v>Sat</v>
      </c>
      <c r="F7" s="58">
        <v>4</v>
      </c>
      <c r="G7" s="4"/>
      <c r="H7" s="4"/>
      <c r="I7" s="2"/>
      <c r="J7" s="46"/>
      <c r="K7" s="59"/>
      <c r="L7" s="60"/>
      <c r="M7" s="60"/>
      <c r="N7" s="60"/>
      <c r="O7" s="60"/>
      <c r="P7" s="60"/>
      <c r="Q7" s="60"/>
      <c r="R7" s="60"/>
      <c r="S7" s="60"/>
      <c r="T7" s="60"/>
      <c r="U7" s="53"/>
      <c r="V7" s="1"/>
      <c r="W7" s="1"/>
      <c r="X7" s="1"/>
      <c r="Y7" s="1"/>
    </row>
    <row r="8" spans="1:25" ht="16.5" x14ac:dyDescent="0.3">
      <c r="A8" s="55" t="s">
        <v>5</v>
      </c>
      <c r="B8" s="4">
        <f>COUNTIF(A3:A8,"1st")</f>
        <v>6</v>
      </c>
      <c r="C8" s="4">
        <v>7</v>
      </c>
      <c r="D8" s="56">
        <f>D7+1</f>
        <v>41868</v>
      </c>
      <c r="E8" s="4" t="str">
        <f t="shared" si="0"/>
        <v>Sun</v>
      </c>
      <c r="F8" s="58">
        <v>5</v>
      </c>
      <c r="G8" s="4"/>
      <c r="H8" s="4"/>
      <c r="I8" s="2"/>
      <c r="J8" s="46"/>
      <c r="K8" s="59"/>
      <c r="L8" s="60"/>
      <c r="M8" s="60"/>
      <c r="N8" s="60"/>
      <c r="O8" s="60"/>
      <c r="P8" s="60"/>
      <c r="Q8" s="60"/>
      <c r="R8" s="60"/>
      <c r="S8" s="60"/>
      <c r="T8" s="60"/>
      <c r="U8" s="53"/>
      <c r="V8" s="1"/>
      <c r="W8" s="1"/>
      <c r="X8" s="1"/>
      <c r="Y8" s="1"/>
    </row>
    <row r="9" spans="1:25" ht="16.5" x14ac:dyDescent="0.3">
      <c r="A9" s="55" t="s">
        <v>5</v>
      </c>
      <c r="B9" s="4">
        <f>COUNTIF(A3:A9,"1st")</f>
        <v>7</v>
      </c>
      <c r="C9" s="61">
        <v>8</v>
      </c>
      <c r="D9" s="56">
        <f t="shared" ref="D9:D17" si="1">D8+1</f>
        <v>41869</v>
      </c>
      <c r="E9" s="4" t="str">
        <f t="shared" si="0"/>
        <v>Mon</v>
      </c>
      <c r="F9" s="58">
        <v>6</v>
      </c>
      <c r="G9" s="4"/>
      <c r="H9" s="4"/>
      <c r="I9" s="2"/>
      <c r="J9" s="46"/>
      <c r="K9" s="59"/>
      <c r="L9" s="60"/>
      <c r="M9" s="60"/>
      <c r="N9" s="60"/>
      <c r="O9" s="60"/>
      <c r="P9" s="60"/>
      <c r="Q9" s="60"/>
      <c r="R9" s="60"/>
      <c r="S9" s="60"/>
      <c r="T9" s="60"/>
      <c r="U9" s="53"/>
      <c r="V9" s="1"/>
      <c r="W9" s="1"/>
      <c r="X9" s="1"/>
      <c r="Y9" s="1"/>
    </row>
    <row r="10" spans="1:25" ht="16.5" x14ac:dyDescent="0.3">
      <c r="A10" s="55" t="s">
        <v>5</v>
      </c>
      <c r="B10" s="4">
        <f>COUNTIF(A3:A10,"1st")</f>
        <v>8</v>
      </c>
      <c r="C10" s="4">
        <v>9</v>
      </c>
      <c r="D10" s="56">
        <f t="shared" si="1"/>
        <v>41870</v>
      </c>
      <c r="E10" s="4" t="str">
        <f t="shared" si="0"/>
        <v>Tue</v>
      </c>
      <c r="F10" s="62">
        <v>7</v>
      </c>
      <c r="G10" s="4"/>
      <c r="H10" s="4"/>
      <c r="I10" s="2"/>
      <c r="J10" s="46"/>
      <c r="K10" s="59"/>
      <c r="L10" s="60"/>
      <c r="M10" s="60"/>
      <c r="N10" s="60"/>
      <c r="O10" s="60"/>
      <c r="P10" s="60"/>
      <c r="Q10" s="60"/>
      <c r="R10" s="60"/>
      <c r="S10" s="60"/>
      <c r="T10" s="60"/>
      <c r="U10" s="53"/>
      <c r="V10" s="1"/>
      <c r="W10" s="1"/>
      <c r="X10" s="1"/>
      <c r="Y10" s="1"/>
    </row>
    <row r="11" spans="1:25" ht="15" customHeight="1" x14ac:dyDescent="0.3">
      <c r="A11" s="55" t="s">
        <v>5</v>
      </c>
      <c r="B11" s="65">
        <f>COUNTIF(A3:A11,"1st")</f>
        <v>9</v>
      </c>
      <c r="C11" s="4">
        <v>10</v>
      </c>
      <c r="D11" s="56">
        <f t="shared" si="1"/>
        <v>41871</v>
      </c>
      <c r="E11" s="4" t="str">
        <f t="shared" si="0"/>
        <v>Wed</v>
      </c>
      <c r="F11" s="58">
        <v>8</v>
      </c>
      <c r="G11" s="45"/>
      <c r="H11" s="45"/>
      <c r="I11" s="2"/>
      <c r="J11" s="46"/>
      <c r="K11" s="59"/>
      <c r="L11" s="60"/>
      <c r="M11" s="60"/>
      <c r="N11" s="60"/>
      <c r="O11" s="60"/>
      <c r="P11" s="60"/>
      <c r="Q11" s="60"/>
      <c r="R11" s="60"/>
      <c r="S11" s="60"/>
      <c r="T11" s="60"/>
      <c r="U11" s="53"/>
      <c r="V11" s="1"/>
      <c r="W11" s="1"/>
      <c r="X11" s="1"/>
      <c r="Y11" s="1"/>
    </row>
    <row r="12" spans="1:25" ht="49.5" x14ac:dyDescent="0.3">
      <c r="A12" s="55" t="s">
        <v>6</v>
      </c>
      <c r="B12" s="65">
        <f>COUNTIF(A12:A12,"2nd")</f>
        <v>1</v>
      </c>
      <c r="C12" s="4">
        <v>11</v>
      </c>
      <c r="D12" s="56">
        <f t="shared" si="1"/>
        <v>41872</v>
      </c>
      <c r="E12" s="4" t="str">
        <f t="shared" si="0"/>
        <v>Thu</v>
      </c>
      <c r="F12" s="58">
        <v>9</v>
      </c>
      <c r="G12" s="45" t="s">
        <v>50</v>
      </c>
      <c r="H12" s="45" t="s">
        <v>61</v>
      </c>
      <c r="I12" s="2"/>
      <c r="J12" s="46"/>
      <c r="K12" s="59"/>
      <c r="L12" s="60"/>
      <c r="M12" s="60"/>
      <c r="N12" s="60"/>
      <c r="O12" s="60"/>
      <c r="P12" s="60"/>
      <c r="Q12" s="60"/>
      <c r="R12" s="60"/>
      <c r="S12" s="60"/>
      <c r="T12" s="60"/>
      <c r="U12" s="53"/>
      <c r="V12" s="1"/>
      <c r="W12" s="1"/>
      <c r="X12" s="1"/>
      <c r="Y12" s="1"/>
    </row>
    <row r="13" spans="1:25" ht="16.5" x14ac:dyDescent="0.3">
      <c r="A13" s="55" t="s">
        <v>6</v>
      </c>
      <c r="B13" s="65">
        <f>COUNTIF(A12:A13,"2nd")</f>
        <v>2</v>
      </c>
      <c r="C13" s="4">
        <v>12</v>
      </c>
      <c r="D13" s="56">
        <f t="shared" si="1"/>
        <v>41873</v>
      </c>
      <c r="E13" s="4" t="str">
        <f t="shared" si="0"/>
        <v>Fri</v>
      </c>
      <c r="F13" s="58">
        <v>10</v>
      </c>
      <c r="G13" s="4"/>
      <c r="H13" s="4"/>
      <c r="I13" s="2"/>
      <c r="J13" s="46"/>
      <c r="K13" s="59"/>
      <c r="L13" s="60"/>
      <c r="M13" s="60"/>
      <c r="N13" s="60"/>
      <c r="O13" s="60"/>
      <c r="P13" s="60"/>
      <c r="Q13" s="60"/>
      <c r="R13" s="60"/>
      <c r="S13" s="60"/>
      <c r="T13" s="60"/>
      <c r="U13" s="53"/>
      <c r="V13" s="1"/>
      <c r="W13" s="1"/>
      <c r="X13" s="1"/>
      <c r="Y13" s="1"/>
    </row>
    <row r="14" spans="1:25" ht="16.5" x14ac:dyDescent="0.3">
      <c r="A14" s="55" t="s">
        <v>6</v>
      </c>
      <c r="B14" s="65">
        <f>COUNTIF(A12:A14,"2nd")</f>
        <v>3</v>
      </c>
      <c r="C14" s="4">
        <v>13</v>
      </c>
      <c r="D14" s="56">
        <f t="shared" si="1"/>
        <v>41874</v>
      </c>
      <c r="E14" s="4" t="str">
        <f t="shared" si="0"/>
        <v>Sat</v>
      </c>
      <c r="F14" s="58">
        <v>11</v>
      </c>
      <c r="G14" s="4"/>
      <c r="H14" s="4"/>
      <c r="I14" s="2"/>
      <c r="J14" s="46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53"/>
      <c r="V14" s="1"/>
      <c r="W14" s="1"/>
      <c r="X14" s="1"/>
      <c r="Y14" s="1"/>
    </row>
    <row r="15" spans="1:25" ht="16.5" x14ac:dyDescent="0.3">
      <c r="A15" s="55" t="s">
        <v>6</v>
      </c>
      <c r="B15" s="65">
        <f>COUNTIF(A12:A15,"2nd")</f>
        <v>4</v>
      </c>
      <c r="C15" s="4">
        <v>14</v>
      </c>
      <c r="D15" s="56">
        <f t="shared" si="1"/>
        <v>41875</v>
      </c>
      <c r="E15" s="4" t="str">
        <f t="shared" si="0"/>
        <v>Sun</v>
      </c>
      <c r="F15" s="58">
        <v>12</v>
      </c>
      <c r="G15" s="4"/>
      <c r="H15" s="4"/>
      <c r="I15" s="2"/>
      <c r="J15" s="46"/>
      <c r="K15" s="59"/>
      <c r="L15" s="60"/>
      <c r="M15" s="60"/>
      <c r="N15" s="60"/>
      <c r="O15" s="60"/>
      <c r="P15" s="60"/>
      <c r="Q15" s="60"/>
      <c r="R15" s="60"/>
      <c r="S15" s="60"/>
      <c r="T15" s="60"/>
      <c r="U15" s="53"/>
      <c r="V15" s="1"/>
      <c r="W15" s="1"/>
      <c r="X15" s="1"/>
      <c r="Y15" s="1"/>
    </row>
    <row r="16" spans="1:25" ht="16.5" x14ac:dyDescent="0.3">
      <c r="A16" s="55" t="s">
        <v>6</v>
      </c>
      <c r="B16" s="65">
        <f>COUNTIF(A12:A16,"2nd")</f>
        <v>5</v>
      </c>
      <c r="C16" s="4">
        <v>15</v>
      </c>
      <c r="D16" s="56">
        <f t="shared" si="1"/>
        <v>41876</v>
      </c>
      <c r="E16" s="4" t="str">
        <f t="shared" si="0"/>
        <v>Mon</v>
      </c>
      <c r="F16" s="58">
        <v>13</v>
      </c>
      <c r="G16" s="4"/>
      <c r="H16" s="4"/>
      <c r="I16" s="1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1"/>
      <c r="W16" s="1"/>
      <c r="X16" s="1"/>
      <c r="Y16" s="1"/>
    </row>
    <row r="17" spans="1:25" ht="16.5" x14ac:dyDescent="0.3">
      <c r="A17" s="55" t="s">
        <v>6</v>
      </c>
      <c r="B17" s="65">
        <f>COUNTIF(A12:A17,"2nd")</f>
        <v>6</v>
      </c>
      <c r="C17" s="4">
        <v>16</v>
      </c>
      <c r="D17" s="56">
        <f t="shared" si="1"/>
        <v>41877</v>
      </c>
      <c r="E17" s="4" t="str">
        <f t="shared" si="0"/>
        <v>Tue</v>
      </c>
      <c r="F17" s="58">
        <v>14</v>
      </c>
      <c r="G17" s="4"/>
      <c r="H17" s="4"/>
      <c r="I17" s="1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1"/>
      <c r="W17" s="1"/>
      <c r="X17" s="1"/>
      <c r="Y17" s="1"/>
    </row>
    <row r="18" spans="1:25" ht="16.5" x14ac:dyDescent="0.3">
      <c r="A18" s="55" t="s">
        <v>6</v>
      </c>
      <c r="B18" s="65">
        <f>COUNTIF(A12:A18,"2nd")</f>
        <v>7</v>
      </c>
      <c r="C18" s="4">
        <v>17</v>
      </c>
      <c r="D18" s="56">
        <f>D17+1</f>
        <v>41878</v>
      </c>
      <c r="E18" s="4" t="str">
        <f t="shared" si="0"/>
        <v>Wed</v>
      </c>
      <c r="F18" s="58">
        <v>15</v>
      </c>
      <c r="G18" s="4"/>
      <c r="H18" s="4"/>
      <c r="I18" s="1"/>
      <c r="J18" s="4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1"/>
      <c r="W18" s="1"/>
      <c r="X18" s="1"/>
      <c r="Y18" s="1"/>
    </row>
    <row r="19" spans="1:25" ht="16.5" x14ac:dyDescent="0.3">
      <c r="A19" s="55" t="s">
        <v>6</v>
      </c>
      <c r="B19" s="65">
        <f>COUNTIF(A12:A19,"2nd")</f>
        <v>8</v>
      </c>
      <c r="C19" s="4">
        <v>18</v>
      </c>
      <c r="D19" s="56">
        <f>D18+1</f>
        <v>41879</v>
      </c>
      <c r="E19" s="4" t="str">
        <f t="shared" si="0"/>
        <v>Thu</v>
      </c>
      <c r="F19" s="58">
        <v>16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"/>
      <c r="W19" s="1"/>
      <c r="X19" s="1"/>
      <c r="Y19" s="1"/>
    </row>
    <row r="20" spans="1:25" ht="16.5" x14ac:dyDescent="0.3">
      <c r="A20" s="55" t="s">
        <v>6</v>
      </c>
      <c r="B20" s="65">
        <f>COUNTIF(A12:A20,"2nd")</f>
        <v>9</v>
      </c>
      <c r="C20" s="4">
        <v>19</v>
      </c>
      <c r="D20" s="56">
        <f>D19+1</f>
        <v>41880</v>
      </c>
      <c r="E20" s="4" t="str">
        <f>TEXT(D20,"ddd")</f>
        <v>Fri</v>
      </c>
      <c r="F20" s="58">
        <v>17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"/>
      <c r="W20" s="1"/>
      <c r="X20" s="1"/>
      <c r="Y20" s="1"/>
    </row>
    <row r="21" spans="1:25" ht="16.5" x14ac:dyDescent="0.3">
      <c r="A21" s="55" t="s">
        <v>6</v>
      </c>
      <c r="B21" s="65" t="s">
        <v>2</v>
      </c>
      <c r="C21" s="3">
        <v>20</v>
      </c>
      <c r="D21" s="56">
        <f>D20+1</f>
        <v>41881</v>
      </c>
      <c r="E21" s="4" t="str">
        <f>TEXT(D21,"ddd")</f>
        <v>Sat</v>
      </c>
      <c r="F21" s="58">
        <v>18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"/>
      <c r="W21" s="1"/>
      <c r="X21" s="1"/>
      <c r="Y21" s="1"/>
    </row>
    <row r="22" spans="1:25" ht="68.25" customHeight="1" x14ac:dyDescent="0.3">
      <c r="A22" s="78" t="s">
        <v>76</v>
      </c>
      <c r="B22" s="4"/>
      <c r="C22" s="4" t="s">
        <v>2</v>
      </c>
      <c r="D22" s="56">
        <f>D20+1</f>
        <v>41881</v>
      </c>
      <c r="E22" s="4" t="str">
        <f t="shared" si="0"/>
        <v>Sat</v>
      </c>
      <c r="F22" s="45" t="s">
        <v>71</v>
      </c>
      <c r="G22" s="45" t="s">
        <v>72</v>
      </c>
      <c r="H22" s="45" t="s">
        <v>73</v>
      </c>
      <c r="I22" s="47" t="s">
        <v>74</v>
      </c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53"/>
      <c r="V22" s="1"/>
      <c r="W22" s="1"/>
      <c r="X22" s="1"/>
      <c r="Y22" s="1"/>
    </row>
    <row r="23" spans="1:25" ht="17.25" customHeight="1" x14ac:dyDescent="0.3">
      <c r="A23" s="55" t="s">
        <v>76</v>
      </c>
      <c r="B23" s="4"/>
      <c r="C23" s="4" t="s">
        <v>2</v>
      </c>
      <c r="D23" s="56">
        <f>D22+1</f>
        <v>41882</v>
      </c>
      <c r="E23" s="4" t="str">
        <f>TEXT(D23,"ddd")</f>
        <v>Sun</v>
      </c>
      <c r="F23" s="45" t="s">
        <v>77</v>
      </c>
      <c r="G23" s="45"/>
      <c r="H23" s="45"/>
      <c r="I23" s="47"/>
      <c r="J23" s="4"/>
      <c r="K23" s="1"/>
      <c r="L23" s="1"/>
      <c r="M23" s="1"/>
      <c r="N23" s="1"/>
      <c r="O23" s="1"/>
      <c r="P23" s="1"/>
      <c r="Q23" s="1"/>
      <c r="R23" s="1"/>
      <c r="S23" s="1"/>
      <c r="T23" s="1"/>
      <c r="U23" s="53"/>
      <c r="V23" s="1"/>
      <c r="W23" s="1"/>
      <c r="X23" s="1"/>
      <c r="Y23" s="1"/>
    </row>
    <row r="24" spans="1:25" ht="15.75" customHeight="1" x14ac:dyDescent="0.3">
      <c r="A24" s="55" t="s">
        <v>76</v>
      </c>
      <c r="D24" s="56">
        <f>D23+1</f>
        <v>41883</v>
      </c>
      <c r="E24" s="4" t="str">
        <f>TEXT(D24,"ddd")</f>
        <v>Mon</v>
      </c>
      <c r="F24" s="45" t="s">
        <v>77</v>
      </c>
      <c r="G24" s="45"/>
      <c r="H24" s="45"/>
      <c r="I24" s="47"/>
      <c r="J24" s="4"/>
      <c r="K24" s="1"/>
      <c r="L24" s="1"/>
      <c r="M24" s="1"/>
      <c r="N24" s="1"/>
      <c r="O24" s="1"/>
      <c r="P24" s="1"/>
      <c r="Q24" s="1"/>
      <c r="R24" s="1"/>
      <c r="S24" s="1"/>
      <c r="T24" s="1"/>
      <c r="U24" s="53"/>
      <c r="V24" s="1"/>
      <c r="W24" s="1"/>
      <c r="X24" s="1"/>
      <c r="Y24" s="1"/>
    </row>
    <row r="25" spans="1:25" s="7" customFormat="1" ht="39.75" customHeight="1" x14ac:dyDescent="0.3">
      <c r="A25" s="72"/>
      <c r="B25" s="72"/>
      <c r="C25" s="73"/>
      <c r="D25" s="74"/>
      <c r="E25" s="72"/>
      <c r="F25" s="75"/>
      <c r="G25" s="75"/>
      <c r="H25" s="75"/>
      <c r="I25" s="75" t="s">
        <v>63</v>
      </c>
      <c r="J25" s="75" t="s">
        <v>64</v>
      </c>
      <c r="K25" s="75" t="s">
        <v>65</v>
      </c>
      <c r="L25" s="75" t="s">
        <v>43</v>
      </c>
      <c r="M25" s="75" t="s">
        <v>53</v>
      </c>
      <c r="N25" s="75" t="s">
        <v>55</v>
      </c>
      <c r="O25" s="75" t="s">
        <v>54</v>
      </c>
      <c r="P25" s="75" t="str">
        <f>P1</f>
        <v>Wait time</v>
      </c>
      <c r="Q25" s="75" t="s">
        <v>66</v>
      </c>
      <c r="R25" s="75" t="s">
        <v>68</v>
      </c>
      <c r="S25" s="75" t="s">
        <v>69</v>
      </c>
      <c r="T25" s="75" t="s">
        <v>70</v>
      </c>
      <c r="U25" s="71"/>
      <c r="V25" s="69"/>
      <c r="W25" s="69"/>
      <c r="X25" s="69"/>
      <c r="Y25" s="69"/>
    </row>
    <row r="26" spans="1:25" ht="50.25" customHeight="1" x14ac:dyDescent="0.3">
      <c r="A26" s="1"/>
      <c r="B26" s="4"/>
      <c r="C26" s="4">
        <v>21</v>
      </c>
      <c r="D26" s="56">
        <f>D24</f>
        <v>41883</v>
      </c>
      <c r="E26" s="4" t="str">
        <f t="shared" si="0"/>
        <v>Mon</v>
      </c>
      <c r="F26" s="45" t="s">
        <v>62</v>
      </c>
      <c r="H26" s="45"/>
      <c r="I26" s="48">
        <f>D26</f>
        <v>41883</v>
      </c>
      <c r="J26" s="4" t="str">
        <f>E26</f>
        <v>Mon</v>
      </c>
      <c r="K26" s="54">
        <v>0.93055555555555547</v>
      </c>
      <c r="L26" s="57">
        <v>0.25694444444444448</v>
      </c>
      <c r="M26" s="2">
        <f>I26+1</f>
        <v>41884</v>
      </c>
      <c r="N26" s="4" t="str">
        <f>TEXT(M26,"ddd")</f>
        <v>Tue</v>
      </c>
      <c r="O26" s="54">
        <v>0.27083333333333331</v>
      </c>
      <c r="P26" s="57">
        <f>Q26-O26</f>
        <v>9.7222222222222265E-2</v>
      </c>
      <c r="Q26" s="54">
        <v>0.36805555555555558</v>
      </c>
      <c r="R26" s="44">
        <v>0.32291666666666669</v>
      </c>
      <c r="S26" s="14">
        <f>M26+1</f>
        <v>41885</v>
      </c>
      <c r="T26" s="4" t="str">
        <f>TEXT(S26,"ddd")</f>
        <v>Wed</v>
      </c>
      <c r="U26" s="53"/>
      <c r="V26" s="1"/>
      <c r="W26" s="1"/>
      <c r="X26" s="1"/>
      <c r="Y26" s="1"/>
    </row>
    <row r="27" spans="1:25" ht="15.75" customHeight="1" x14ac:dyDescent="0.3">
      <c r="A27" s="1"/>
      <c r="B27" s="4"/>
      <c r="C27" s="4"/>
      <c r="D27" s="4"/>
      <c r="E27" s="4"/>
      <c r="F27" s="4"/>
      <c r="G27" s="4"/>
      <c r="H27" s="45"/>
      <c r="I27" s="48"/>
      <c r="J27" s="4"/>
      <c r="K27" s="54"/>
      <c r="L27" s="57"/>
      <c r="M27" s="2"/>
      <c r="N27" s="4"/>
      <c r="O27" s="54"/>
      <c r="P27" s="57"/>
      <c r="Q27" s="54"/>
      <c r="R27" s="44"/>
      <c r="S27" s="14"/>
      <c r="T27" s="4"/>
      <c r="U27" s="53"/>
      <c r="V27" s="1"/>
      <c r="W27" s="1"/>
      <c r="X27" s="1"/>
      <c r="Y27" s="1"/>
    </row>
    <row r="28" spans="1:25" ht="16.5" x14ac:dyDescent="0.3">
      <c r="A28" s="1"/>
      <c r="B28" s="4"/>
      <c r="C28" s="4"/>
      <c r="D28" s="4"/>
      <c r="E28" s="4"/>
      <c r="F28" s="4"/>
      <c r="G28" s="4"/>
      <c r="H28" s="4"/>
      <c r="I28" s="63" t="s">
        <v>2</v>
      </c>
      <c r="J28" s="46"/>
      <c r="K28" s="53"/>
      <c r="L28" s="60"/>
      <c r="M28" s="60"/>
      <c r="N28" s="60"/>
      <c r="O28" s="60"/>
      <c r="P28" s="60"/>
      <c r="Q28" s="60"/>
      <c r="R28" s="60"/>
      <c r="S28" s="60"/>
      <c r="T28" s="60"/>
      <c r="U28" s="53"/>
      <c r="V28" s="1"/>
      <c r="W28" s="1"/>
      <c r="X28" s="1"/>
      <c r="Y28" s="1"/>
    </row>
    <row r="29" spans="1:25" ht="78" customHeight="1" x14ac:dyDescent="0.3">
      <c r="A29" s="1"/>
      <c r="B29" s="4"/>
      <c r="C29" s="4"/>
      <c r="D29" s="4"/>
      <c r="E29" s="4"/>
      <c r="F29" s="45" t="s">
        <v>2</v>
      </c>
      <c r="G29" s="4"/>
      <c r="H29" s="4"/>
      <c r="I29" s="45" t="s">
        <v>2</v>
      </c>
      <c r="J29" s="45" t="s">
        <v>2</v>
      </c>
      <c r="K29" s="45" t="s">
        <v>2</v>
      </c>
      <c r="L29" s="60"/>
      <c r="M29" s="60"/>
      <c r="N29" s="60"/>
      <c r="O29" s="60"/>
      <c r="P29" s="60"/>
      <c r="Q29" s="60"/>
      <c r="R29" s="60"/>
      <c r="S29" s="60"/>
      <c r="T29" s="60"/>
      <c r="U29" s="53"/>
      <c r="V29" s="1"/>
      <c r="W29" s="1"/>
      <c r="X29" s="1"/>
      <c r="Y29" s="1"/>
    </row>
    <row r="30" spans="1:25" ht="16.5" x14ac:dyDescent="0.3">
      <c r="A30" s="1"/>
      <c r="B30" s="4"/>
      <c r="C30" s="4"/>
      <c r="D30" s="4"/>
      <c r="E30" s="4"/>
      <c r="F30" s="4"/>
      <c r="G30" s="4"/>
      <c r="H30" s="4"/>
      <c r="I30" s="54"/>
      <c r="J30" s="64" t="s">
        <v>2</v>
      </c>
      <c r="K30" s="64" t="s">
        <v>2</v>
      </c>
      <c r="L30" s="60"/>
      <c r="M30" s="60"/>
      <c r="N30" s="60"/>
      <c r="O30" s="60"/>
      <c r="P30" s="60"/>
      <c r="Q30" s="60"/>
      <c r="R30" s="60"/>
      <c r="S30" s="60"/>
      <c r="T30" s="60"/>
      <c r="U30" s="53"/>
      <c r="V30" s="1"/>
      <c r="W30" s="1"/>
      <c r="X30" s="1"/>
      <c r="Y30" s="1"/>
    </row>
    <row r="31" spans="1:25" ht="16.5" x14ac:dyDescent="0.3">
      <c r="A31" s="1"/>
      <c r="B31" s="4"/>
      <c r="C31" s="4"/>
      <c r="D31" s="4"/>
      <c r="E31" s="4"/>
      <c r="F31" s="4"/>
      <c r="G31" s="4"/>
      <c r="H31" s="4"/>
      <c r="I31" s="1"/>
      <c r="J31" s="4"/>
      <c r="K31" s="1"/>
      <c r="L31" s="1"/>
      <c r="M31" s="1"/>
      <c r="N31" s="1"/>
      <c r="O31" s="1"/>
      <c r="P31" s="1"/>
      <c r="Q31" s="1"/>
      <c r="R31" s="1"/>
      <c r="S31" s="1"/>
      <c r="T31" s="1"/>
      <c r="U31" s="53"/>
      <c r="V31" s="1"/>
      <c r="W31" s="1"/>
      <c r="X31" s="1"/>
      <c r="Y31" s="1"/>
    </row>
    <row r="32" spans="1:25" ht="54.75" customHeight="1" x14ac:dyDescent="0.3">
      <c r="A32" s="1"/>
      <c r="B32" s="4"/>
      <c r="C32" s="4"/>
      <c r="D32" s="4"/>
      <c r="E32" s="4"/>
      <c r="F32" s="4"/>
      <c r="G32" s="4"/>
      <c r="H32" s="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1"/>
      <c r="X32" s="1"/>
      <c r="Y32" s="1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O43" sqref="O43"/>
    </sheetView>
  </sheetViews>
  <sheetFormatPr defaultRowHeight="12.75" x14ac:dyDescent="0.2"/>
  <cols>
    <col min="1" max="1" width="41.140625" customWidth="1"/>
    <col min="2" max="2" width="10.140625" bestFit="1" customWidth="1"/>
    <col min="3" max="3" width="6.42578125" customWidth="1"/>
    <col min="4" max="4" width="10.140625" bestFit="1" customWidth="1"/>
    <col min="5" max="5" width="5.5703125" customWidth="1"/>
    <col min="6" max="6" width="6.42578125" style="3" customWidth="1"/>
    <col min="7" max="7" width="15.140625" customWidth="1"/>
    <col min="8" max="8" width="12.28515625" customWidth="1"/>
    <col min="9" max="9" width="11.42578125" customWidth="1"/>
    <col min="10" max="10" width="8.28515625" customWidth="1"/>
    <col min="11" max="11" width="14.85546875" customWidth="1"/>
    <col min="12" max="12" width="7" customWidth="1"/>
    <col min="13" max="13" width="10.140625" customWidth="1"/>
    <col min="14" max="14" width="12.5703125" customWidth="1"/>
    <col min="15" max="15" width="11" bestFit="1" customWidth="1"/>
    <col min="17" max="17" width="11" bestFit="1" customWidth="1"/>
    <col min="18" max="18" width="12.5703125" bestFit="1" customWidth="1"/>
  </cols>
  <sheetData>
    <row r="1" spans="1:19" ht="15.75" x14ac:dyDescent="0.25">
      <c r="A1" s="8" t="s">
        <v>111</v>
      </c>
    </row>
    <row r="2" spans="1:19" ht="15.75" x14ac:dyDescent="0.25">
      <c r="A2" s="8" t="s">
        <v>113</v>
      </c>
    </row>
    <row r="3" spans="1:19" x14ac:dyDescent="0.2">
      <c r="A3" s="80" t="s">
        <v>79</v>
      </c>
    </row>
    <row r="4" spans="1:19" ht="50.25" customHeight="1" x14ac:dyDescent="0.25">
      <c r="A4" s="7" t="s">
        <v>82</v>
      </c>
      <c r="B4" s="7" t="s">
        <v>4</v>
      </c>
      <c r="C4" s="81"/>
      <c r="D4" s="7" t="s">
        <v>3</v>
      </c>
      <c r="E4" s="35"/>
      <c r="F4" s="7" t="s">
        <v>80</v>
      </c>
      <c r="G4" s="82" t="s">
        <v>92</v>
      </c>
      <c r="H4" s="82" t="s">
        <v>90</v>
      </c>
      <c r="I4" s="82" t="s">
        <v>78</v>
      </c>
      <c r="J4" s="35"/>
      <c r="K4" s="7" t="s">
        <v>85</v>
      </c>
      <c r="N4" s="7" t="s">
        <v>86</v>
      </c>
      <c r="Q4" s="97" t="s">
        <v>109</v>
      </c>
      <c r="R4" s="9"/>
      <c r="S4" s="9"/>
    </row>
    <row r="5" spans="1:19" x14ac:dyDescent="0.2">
      <c r="A5" s="3">
        <v>4</v>
      </c>
      <c r="B5" s="14">
        <f>'2014 Flights Milan'!S3</f>
        <v>41863</v>
      </c>
      <c r="C5" s="13" t="str">
        <f>TEXT(B5,"ddd")</f>
        <v>Tue</v>
      </c>
      <c r="D5" s="14">
        <f>'2014 Flights Milan'!D12</f>
        <v>41872</v>
      </c>
      <c r="E5" s="13" t="str">
        <f>TEXT(D5,"ddd")</f>
        <v>Thu</v>
      </c>
      <c r="F5" s="3">
        <f>D5-B5</f>
        <v>9</v>
      </c>
      <c r="G5" s="6">
        <v>79</v>
      </c>
      <c r="H5" s="5">
        <f>K7/9*7</f>
        <v>564.66666666666674</v>
      </c>
      <c r="I5" s="3">
        <v>1</v>
      </c>
      <c r="K5" s="5">
        <f>G5*F5*I5</f>
        <v>711</v>
      </c>
      <c r="Q5" s="9"/>
      <c r="R5" s="9"/>
      <c r="S5" s="9"/>
    </row>
    <row r="6" spans="1:19" ht="15.75" x14ac:dyDescent="0.25">
      <c r="H6" s="15">
        <f>H5/S9</f>
        <v>870.32470201397462</v>
      </c>
      <c r="J6" t="s">
        <v>81</v>
      </c>
      <c r="K6" s="16">
        <v>15</v>
      </c>
      <c r="Q6" s="92">
        <v>600</v>
      </c>
      <c r="R6" s="93">
        <f>Q6/S6</f>
        <v>924.78421701602952</v>
      </c>
      <c r="S6" s="9">
        <v>0.64880000000000004</v>
      </c>
    </row>
    <row r="7" spans="1:19" x14ac:dyDescent="0.2">
      <c r="K7" s="5">
        <f>K5+K6</f>
        <v>726</v>
      </c>
      <c r="L7">
        <f>S9</f>
        <v>0.64880000000000004</v>
      </c>
      <c r="N7" s="15">
        <f>K7/L7</f>
        <v>1118.9889025893958</v>
      </c>
      <c r="Q7" s="9"/>
      <c r="R7" s="94">
        <v>15</v>
      </c>
      <c r="S7" s="9"/>
    </row>
    <row r="8" spans="1:19" x14ac:dyDescent="0.2">
      <c r="K8" s="16">
        <f>N8*L7</f>
        <v>9.7320000000000011</v>
      </c>
      <c r="N8" s="84">
        <v>15</v>
      </c>
      <c r="O8" t="s">
        <v>87</v>
      </c>
      <c r="Q8" s="9"/>
      <c r="R8" s="95">
        <f>R6+R7</f>
        <v>939.78421701602952</v>
      </c>
      <c r="S8" s="9"/>
    </row>
    <row r="9" spans="1:19" ht="14.25" x14ac:dyDescent="0.2">
      <c r="K9" s="5">
        <f>N9*L7</f>
        <v>735.73200000000008</v>
      </c>
      <c r="N9" s="120">
        <f>N7+N8</f>
        <v>1133.9889025893958</v>
      </c>
      <c r="Q9" s="98">
        <f>Q10-Q6</f>
        <v>126</v>
      </c>
      <c r="R9" s="99">
        <f>Q9/S9</f>
        <v>194.20468557336619</v>
      </c>
      <c r="S9" s="100">
        <f>S6</f>
        <v>0.64880000000000004</v>
      </c>
    </row>
    <row r="10" spans="1:19" ht="13.5" customHeight="1" x14ac:dyDescent="0.2">
      <c r="K10" s="5"/>
      <c r="N10" s="15"/>
      <c r="Q10" s="101">
        <f>K7</f>
        <v>726</v>
      </c>
      <c r="R10" s="102">
        <f>R6+R9</f>
        <v>1118.9889025893958</v>
      </c>
      <c r="S10" s="100"/>
    </row>
    <row r="11" spans="1:19" x14ac:dyDescent="0.2">
      <c r="A11" s="104"/>
      <c r="B11" s="104"/>
      <c r="C11" s="104"/>
      <c r="D11" s="104"/>
      <c r="E11" s="104"/>
      <c r="F11" s="105"/>
      <c r="G11" s="104"/>
      <c r="H11" s="104"/>
      <c r="I11" s="104"/>
      <c r="J11" s="104"/>
      <c r="K11" s="106">
        <f>K9/A5</f>
        <v>183.93300000000002</v>
      </c>
      <c r="L11" s="104"/>
      <c r="M11" s="104" t="s">
        <v>83</v>
      </c>
      <c r="N11" s="107">
        <f>N9/$A$5</f>
        <v>283.49722564734896</v>
      </c>
      <c r="O11" s="104"/>
      <c r="P11" s="104"/>
      <c r="Q11" s="108"/>
      <c r="R11" s="108"/>
      <c r="S11" s="108"/>
    </row>
    <row r="12" spans="1:19" x14ac:dyDescent="0.2">
      <c r="A12" s="109"/>
      <c r="B12" s="109"/>
      <c r="C12" s="109"/>
      <c r="D12" s="109"/>
      <c r="E12" s="109"/>
      <c r="F12" s="110"/>
      <c r="G12" s="109"/>
      <c r="H12" s="109"/>
      <c r="I12" s="109"/>
      <c r="J12" s="109"/>
      <c r="K12" s="111"/>
      <c r="L12" s="109"/>
      <c r="M12" s="109" t="s">
        <v>84</v>
      </c>
      <c r="N12" s="112">
        <f>N11/F5</f>
        <v>31.499691738594329</v>
      </c>
      <c r="O12" s="109"/>
      <c r="P12" s="109"/>
      <c r="Q12" s="113"/>
      <c r="R12" s="113"/>
      <c r="S12" s="113"/>
    </row>
    <row r="13" spans="1:19" ht="15.75" x14ac:dyDescent="0.25">
      <c r="A13" s="8" t="s">
        <v>116</v>
      </c>
      <c r="G13" s="35" t="s">
        <v>108</v>
      </c>
      <c r="K13" s="115" t="str">
        <f>K4</f>
        <v>Euro costs</v>
      </c>
      <c r="N13" s="7" t="s">
        <v>86</v>
      </c>
      <c r="Q13" s="9"/>
      <c r="R13" s="9"/>
      <c r="S13" s="9"/>
    </row>
    <row r="14" spans="1:19" ht="15.75" x14ac:dyDescent="0.25">
      <c r="A14" s="8" t="s">
        <v>115</v>
      </c>
      <c r="B14" s="14">
        <f>D5</f>
        <v>41872</v>
      </c>
      <c r="C14" s="13" t="str">
        <f>TEXT(B14,"ddd")</f>
        <v>Thu</v>
      </c>
      <c r="D14" s="14">
        <f>B23</f>
        <v>41874</v>
      </c>
      <c r="E14" s="13" t="str">
        <f>TEXT(D14,"ddd")</f>
        <v>Sat</v>
      </c>
      <c r="F14" s="3">
        <f>D14-B14</f>
        <v>2</v>
      </c>
      <c r="G14" s="5">
        <f>29.7*4</f>
        <v>118.8</v>
      </c>
      <c r="K14" s="5">
        <f>G14*F14</f>
        <v>237.6</v>
      </c>
      <c r="N14" s="15">
        <f>K14/S14</f>
        <v>374.76340694006308</v>
      </c>
      <c r="Q14" s="92">
        <v>80</v>
      </c>
      <c r="R14" s="95">
        <f>Q14/S14</f>
        <v>126.18296529968454</v>
      </c>
      <c r="S14" s="96">
        <v>0.63400000000000001</v>
      </c>
    </row>
    <row r="15" spans="1:19" x14ac:dyDescent="0.2">
      <c r="A15" s="80" t="s">
        <v>79</v>
      </c>
      <c r="G15" s="86" t="s">
        <v>107</v>
      </c>
      <c r="K15" s="5"/>
      <c r="N15" s="84">
        <v>15</v>
      </c>
      <c r="Q15" s="9"/>
      <c r="R15" s="94">
        <v>15</v>
      </c>
      <c r="S15" s="9"/>
    </row>
    <row r="16" spans="1:19" x14ac:dyDescent="0.2">
      <c r="A16" s="7" t="s">
        <v>82</v>
      </c>
      <c r="G16" s="86"/>
      <c r="K16" s="5"/>
      <c r="N16" s="121">
        <f>N14+N15</f>
        <v>389.76340694006308</v>
      </c>
      <c r="Q16" s="9"/>
      <c r="R16" s="114">
        <f>R14+R15</f>
        <v>141.18296529968455</v>
      </c>
      <c r="S16" s="9"/>
    </row>
    <row r="17" spans="1:19" x14ac:dyDescent="0.2">
      <c r="A17" s="116">
        <f>A5</f>
        <v>4</v>
      </c>
      <c r="B17" s="104"/>
      <c r="C17" s="104"/>
      <c r="D17" s="104"/>
      <c r="E17" s="104"/>
      <c r="F17" s="105"/>
      <c r="G17" s="104"/>
      <c r="H17" s="104"/>
      <c r="I17" s="104"/>
      <c r="J17" s="104"/>
      <c r="K17" s="106"/>
      <c r="L17" s="104"/>
      <c r="M17" s="104" t="s">
        <v>83</v>
      </c>
      <c r="N17" s="107">
        <f>N16/A17</f>
        <v>97.440851735015769</v>
      </c>
      <c r="O17" s="104"/>
      <c r="P17" s="104"/>
      <c r="Q17" s="108"/>
      <c r="R17" s="9"/>
      <c r="S17" s="108"/>
    </row>
    <row r="18" spans="1:19" x14ac:dyDescent="0.2">
      <c r="A18" s="109"/>
      <c r="B18" s="109"/>
      <c r="C18" s="109"/>
      <c r="D18" s="109"/>
      <c r="E18" s="109"/>
      <c r="F18" s="110"/>
      <c r="G18" s="109"/>
      <c r="H18" s="109"/>
      <c r="I18" s="109"/>
      <c r="J18" s="109"/>
      <c r="K18" s="111"/>
      <c r="L18" s="109"/>
      <c r="M18" s="109" t="s">
        <v>84</v>
      </c>
      <c r="N18" s="112">
        <f>N17/F14</f>
        <v>48.720425867507885</v>
      </c>
      <c r="O18" s="109"/>
      <c r="P18" s="109"/>
      <c r="Q18" s="113"/>
      <c r="R18" s="113"/>
      <c r="S18" s="113"/>
    </row>
    <row r="19" spans="1:19" ht="15.75" x14ac:dyDescent="0.25">
      <c r="A19" s="8" t="s">
        <v>112</v>
      </c>
      <c r="K19" s="5"/>
      <c r="Q19" s="9"/>
      <c r="R19" s="9"/>
      <c r="S19" s="9"/>
    </row>
    <row r="20" spans="1:19" ht="15.75" x14ac:dyDescent="0.25">
      <c r="A20" s="87" t="s">
        <v>114</v>
      </c>
      <c r="K20" s="5"/>
      <c r="Q20" s="9"/>
      <c r="R20" s="9"/>
      <c r="S20" s="9"/>
    </row>
    <row r="21" spans="1:19" x14ac:dyDescent="0.2">
      <c r="A21" s="80" t="s">
        <v>106</v>
      </c>
      <c r="Q21" s="9"/>
      <c r="R21" s="9"/>
      <c r="S21" s="9"/>
    </row>
    <row r="22" spans="1:19" ht="25.5" x14ac:dyDescent="0.2">
      <c r="A22" s="7" t="s">
        <v>82</v>
      </c>
      <c r="B22" s="7" t="s">
        <v>4</v>
      </c>
      <c r="C22" s="81"/>
      <c r="D22" s="7" t="s">
        <v>3</v>
      </c>
      <c r="E22" s="35"/>
      <c r="F22" s="7" t="s">
        <v>80</v>
      </c>
      <c r="G22" s="7" t="s">
        <v>108</v>
      </c>
      <c r="H22" s="82" t="s">
        <v>90</v>
      </c>
      <c r="I22" s="82" t="s">
        <v>91</v>
      </c>
      <c r="J22" s="35"/>
      <c r="K22" s="7" t="s">
        <v>85</v>
      </c>
      <c r="N22" s="7" t="s">
        <v>86</v>
      </c>
      <c r="Q22" s="9"/>
      <c r="R22" s="9"/>
      <c r="S22" s="9"/>
    </row>
    <row r="23" spans="1:19" ht="15.75" x14ac:dyDescent="0.25">
      <c r="A23" s="83">
        <f>A5</f>
        <v>4</v>
      </c>
      <c r="B23" s="14">
        <f>D5+2</f>
        <v>41874</v>
      </c>
      <c r="C23" s="13" t="str">
        <f>TEXT(B23,"ddd")</f>
        <v>Sat</v>
      </c>
      <c r="D23" s="14">
        <f>'2014 Flights Milan'!D21</f>
        <v>41881</v>
      </c>
      <c r="E23" s="13" t="str">
        <f>TEXT(D23,"ddd")</f>
        <v>Sat</v>
      </c>
      <c r="F23" s="3">
        <f>D23-B23</f>
        <v>7</v>
      </c>
      <c r="G23" s="6">
        <f>H23/F23</f>
        <v>100</v>
      </c>
      <c r="H23" s="5">
        <v>700</v>
      </c>
      <c r="I23" s="3">
        <v>1</v>
      </c>
      <c r="K23" s="5">
        <f>H23</f>
        <v>700</v>
      </c>
      <c r="N23" s="120">
        <f>H24</f>
        <v>1078.9149198520345</v>
      </c>
      <c r="Q23" s="92">
        <v>200</v>
      </c>
      <c r="R23" s="95">
        <f>Q23/S23</f>
        <v>311.76929072486359</v>
      </c>
      <c r="S23" s="9">
        <v>0.64149999999999996</v>
      </c>
    </row>
    <row r="24" spans="1:19" ht="15" x14ac:dyDescent="0.25">
      <c r="A24" s="12" t="s">
        <v>2</v>
      </c>
      <c r="H24" s="85">
        <f>H23/L7</f>
        <v>1078.9149198520345</v>
      </c>
      <c r="Q24" s="9"/>
      <c r="R24" s="94">
        <v>15</v>
      </c>
      <c r="S24" s="9"/>
    </row>
    <row r="25" spans="1:19" ht="15" x14ac:dyDescent="0.25">
      <c r="A25" s="12" t="s">
        <v>2</v>
      </c>
      <c r="M25" t="s">
        <v>83</v>
      </c>
      <c r="N25" s="15">
        <f>N23/4</f>
        <v>269.72872996300862</v>
      </c>
      <c r="Q25" s="9"/>
      <c r="R25" s="95">
        <f>R23+R24</f>
        <v>326.76929072486359</v>
      </c>
      <c r="S25" s="9"/>
    </row>
    <row r="26" spans="1:19" x14ac:dyDescent="0.2">
      <c r="M26" t="s">
        <v>84</v>
      </c>
      <c r="N26" s="15">
        <f>N25/7</f>
        <v>38.532675709001232</v>
      </c>
      <c r="R26" s="15" t="s">
        <v>2</v>
      </c>
    </row>
    <row r="28" spans="1:19" x14ac:dyDescent="0.2">
      <c r="K28" s="117"/>
      <c r="L28" s="117"/>
      <c r="M28" s="118" t="s">
        <v>110</v>
      </c>
      <c r="N28" s="119">
        <f>((N12*F5)+(N18*F14)+(N26*F23))/(F5+F14+F23)</f>
        <v>36.148155963631858</v>
      </c>
    </row>
    <row r="29" spans="1:19" x14ac:dyDescent="0.2">
      <c r="R29" s="95">
        <f>R8</f>
        <v>939.78421701602952</v>
      </c>
    </row>
    <row r="30" spans="1:19" x14ac:dyDescent="0.2">
      <c r="R30" s="95">
        <f>R16</f>
        <v>141.18296529968455</v>
      </c>
    </row>
    <row r="31" spans="1:19" x14ac:dyDescent="0.2">
      <c r="R31" s="94">
        <f>R25</f>
        <v>326.76929072486359</v>
      </c>
    </row>
    <row r="32" spans="1:19" x14ac:dyDescent="0.2">
      <c r="R32" s="95">
        <f>SUM(R29:R31)</f>
        <v>1407.7364730405777</v>
      </c>
    </row>
    <row r="33" spans="13:18" x14ac:dyDescent="0.2">
      <c r="N33" s="120">
        <f>N9</f>
        <v>1133.9889025893958</v>
      </c>
      <c r="R33" s="9">
        <v>4</v>
      </c>
    </row>
    <row r="34" spans="13:18" x14ac:dyDescent="0.2">
      <c r="N34" s="120">
        <f>N16</f>
        <v>389.76340694006308</v>
      </c>
      <c r="R34" s="95">
        <f>R32/R33</f>
        <v>351.93411826014443</v>
      </c>
    </row>
    <row r="35" spans="13:18" x14ac:dyDescent="0.2">
      <c r="N35" s="121">
        <f>N23</f>
        <v>1078.9149198520345</v>
      </c>
    </row>
    <row r="36" spans="13:18" x14ac:dyDescent="0.2">
      <c r="N36" s="120">
        <f>SUM(N33:N35)</f>
        <v>2602.6672293814936</v>
      </c>
    </row>
    <row r="37" spans="13:18" x14ac:dyDescent="0.2">
      <c r="N37" s="122"/>
    </row>
    <row r="38" spans="13:18" x14ac:dyDescent="0.2">
      <c r="N38" s="120">
        <f>R32</f>
        <v>1407.7364730405777</v>
      </c>
    </row>
    <row r="39" spans="13:18" x14ac:dyDescent="0.2">
      <c r="N39" s="122"/>
    </row>
    <row r="40" spans="13:18" x14ac:dyDescent="0.2">
      <c r="N40" s="120">
        <f>N36-N38</f>
        <v>1194.9307563409159</v>
      </c>
    </row>
    <row r="41" spans="13:18" x14ac:dyDescent="0.2">
      <c r="N41" s="122">
        <v>4</v>
      </c>
    </row>
    <row r="42" spans="13:18" x14ac:dyDescent="0.2">
      <c r="M42" s="86" t="s">
        <v>117</v>
      </c>
      <c r="N42" s="120">
        <f>N40/N41</f>
        <v>298.73268908522897</v>
      </c>
      <c r="O42" t="s">
        <v>118</v>
      </c>
    </row>
  </sheetData>
  <hyperlinks>
    <hyperlink ref="A20" r:id="rId1" display="2nd Base Camp - Appartmento Stella "/>
  </hyperlinks>
  <pageMargins left="0.7" right="0.7" top="0.75" bottom="0.75" header="0.3" footer="0.3"/>
  <pageSetup paperSize="9"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2" zoomScale="90" zoomScaleNormal="90" workbookViewId="0">
      <selection activeCell="E43" sqref="E43"/>
    </sheetView>
  </sheetViews>
  <sheetFormatPr defaultRowHeight="12.75" x14ac:dyDescent="0.2"/>
  <cols>
    <col min="1" max="1" width="3.28515625" customWidth="1"/>
    <col min="2" max="2" width="27.5703125" customWidth="1"/>
    <col min="3" max="3" width="10.85546875" customWidth="1"/>
    <col min="4" max="4" width="11.42578125" customWidth="1"/>
    <col min="5" max="5" width="10.140625" customWidth="1"/>
    <col min="6" max="6" width="9.42578125" customWidth="1"/>
    <col min="9" max="9" width="7.42578125" customWidth="1"/>
    <col min="10" max="10" width="10" customWidth="1"/>
    <col min="12" max="12" width="9.7109375" customWidth="1"/>
    <col min="15" max="15" width="11" bestFit="1" customWidth="1"/>
  </cols>
  <sheetData>
    <row r="1" spans="1:15" x14ac:dyDescent="0.2">
      <c r="B1">
        <v>0.83</v>
      </c>
      <c r="C1" t="s">
        <v>18</v>
      </c>
    </row>
    <row r="3" spans="1:15" x14ac:dyDescent="0.2">
      <c r="B3" t="s">
        <v>19</v>
      </c>
      <c r="C3" t="s">
        <v>28</v>
      </c>
      <c r="D3" t="s">
        <v>27</v>
      </c>
      <c r="E3" t="s">
        <v>20</v>
      </c>
      <c r="F3" t="s">
        <v>21</v>
      </c>
      <c r="G3" t="s">
        <v>26</v>
      </c>
      <c r="H3" t="s">
        <v>29</v>
      </c>
      <c r="J3" t="s">
        <v>22</v>
      </c>
      <c r="K3" t="s">
        <v>23</v>
      </c>
      <c r="L3" t="s">
        <v>24</v>
      </c>
      <c r="M3" t="s">
        <v>25</v>
      </c>
    </row>
    <row r="5" spans="1:15" x14ac:dyDescent="0.2">
      <c r="A5">
        <v>1</v>
      </c>
      <c r="B5" t="s">
        <v>14</v>
      </c>
      <c r="D5" s="33">
        <v>80</v>
      </c>
      <c r="E5" s="33">
        <v>80</v>
      </c>
      <c r="F5" s="33"/>
      <c r="G5" s="33"/>
      <c r="H5" s="33"/>
      <c r="I5" s="33"/>
      <c r="J5" s="33">
        <f>-D5/3*2</f>
        <v>-53.333333333333336</v>
      </c>
      <c r="K5" s="33">
        <f>E5/3</f>
        <v>26.666666666666668</v>
      </c>
      <c r="L5" s="33">
        <f>E5/3</f>
        <v>26.666666666666668</v>
      </c>
      <c r="M5" s="33"/>
    </row>
    <row r="6" spans="1:15" x14ac:dyDescent="0.2">
      <c r="D6" s="33"/>
      <c r="E6" s="33"/>
      <c r="F6" s="33"/>
      <c r="G6" s="33"/>
      <c r="H6" s="33"/>
      <c r="I6" s="33"/>
      <c r="K6" s="11"/>
    </row>
    <row r="7" spans="1:15" x14ac:dyDescent="0.2">
      <c r="A7">
        <v>2</v>
      </c>
      <c r="B7" t="s">
        <v>15</v>
      </c>
      <c r="C7">
        <v>222</v>
      </c>
      <c r="D7" s="33">
        <v>283.51</v>
      </c>
      <c r="E7" s="33"/>
      <c r="F7" s="33">
        <f>D7</f>
        <v>283.51</v>
      </c>
      <c r="G7" s="33"/>
      <c r="H7" s="33"/>
      <c r="I7" s="33"/>
      <c r="J7" s="33">
        <f>D7/4</f>
        <v>70.877499999999998</v>
      </c>
      <c r="K7" s="33">
        <f>-D7/4*3</f>
        <v>-212.63249999999999</v>
      </c>
      <c r="L7" s="33">
        <f>D7/4</f>
        <v>70.877499999999998</v>
      </c>
      <c r="M7" s="33">
        <f>D7/4</f>
        <v>70.877499999999998</v>
      </c>
    </row>
    <row r="8" spans="1:15" x14ac:dyDescent="0.2"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5" x14ac:dyDescent="0.2">
      <c r="A9">
        <v>3</v>
      </c>
      <c r="B9" t="s">
        <v>16</v>
      </c>
      <c r="C9">
        <v>423.32</v>
      </c>
      <c r="D9" s="33">
        <f>C9/B1</f>
        <v>510.02409638554218</v>
      </c>
      <c r="E9" s="33"/>
      <c r="F9" s="33">
        <f>135.8/B1</f>
        <v>163.61445783132532</v>
      </c>
      <c r="G9" s="33">
        <f>287.52/B1</f>
        <v>346.40963855421688</v>
      </c>
      <c r="H9" s="33"/>
      <c r="I9" s="36">
        <f>F9+G9</f>
        <v>510.02409638554218</v>
      </c>
      <c r="J9" s="33">
        <f>D9/21*6</f>
        <v>145.72117039586919</v>
      </c>
      <c r="K9" s="33">
        <f>D9/21*6-F9</f>
        <v>-17.893287435456131</v>
      </c>
      <c r="L9" s="33">
        <f>D9/21*6-G9</f>
        <v>-200.68846815834769</v>
      </c>
      <c r="M9" s="33">
        <f>D9/21*3</f>
        <v>72.860585197934597</v>
      </c>
      <c r="N9" s="10"/>
      <c r="O9" s="32"/>
    </row>
    <row r="10" spans="1:15" x14ac:dyDescent="0.2"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5" x14ac:dyDescent="0.2">
      <c r="A11">
        <v>4</v>
      </c>
      <c r="B11" t="s">
        <v>38</v>
      </c>
      <c r="C11">
        <v>65.02</v>
      </c>
      <c r="D11" s="33">
        <f>C11/B1</f>
        <v>78.337349397590359</v>
      </c>
      <c r="E11" s="33"/>
      <c r="F11" s="33"/>
      <c r="G11" s="33">
        <f>D11</f>
        <v>78.337349397590359</v>
      </c>
      <c r="J11" s="33">
        <f>D11/4</f>
        <v>19.58433734939759</v>
      </c>
      <c r="K11" s="33">
        <f>D11/4</f>
        <v>19.58433734939759</v>
      </c>
      <c r="L11" s="33">
        <f>-D11/4*3</f>
        <v>-58.753012048192772</v>
      </c>
      <c r="M11" s="33">
        <f>D11/4</f>
        <v>19.58433734939759</v>
      </c>
    </row>
    <row r="12" spans="1:15" x14ac:dyDescent="0.2"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5" x14ac:dyDescent="0.2">
      <c r="A13">
        <v>5</v>
      </c>
      <c r="B13" t="s">
        <v>39</v>
      </c>
      <c r="C13" s="38">
        <v>44.7</v>
      </c>
      <c r="D13" s="33">
        <v>55.45</v>
      </c>
      <c r="E13" s="33">
        <f>D13</f>
        <v>55.45</v>
      </c>
      <c r="F13" s="33"/>
      <c r="G13" s="33"/>
      <c r="H13" s="33"/>
      <c r="I13" s="33"/>
      <c r="J13" s="33">
        <f>-D13/3*2</f>
        <v>-36.966666666666669</v>
      </c>
      <c r="K13" s="33">
        <f>E13/3</f>
        <v>18.483333333333334</v>
      </c>
      <c r="L13" s="33">
        <f>E13/3</f>
        <v>18.483333333333334</v>
      </c>
      <c r="M13" s="33"/>
    </row>
    <row r="14" spans="1:15" x14ac:dyDescent="0.2"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5" x14ac:dyDescent="0.2">
      <c r="A15">
        <v>6</v>
      </c>
      <c r="B15" t="s">
        <v>41</v>
      </c>
      <c r="D15" s="33">
        <f>'Rental car contributions'!A3</f>
        <v>783.93000000000006</v>
      </c>
      <c r="E15" s="33">
        <f>D15</f>
        <v>783.93000000000006</v>
      </c>
      <c r="F15" s="33"/>
      <c r="G15" s="33"/>
      <c r="H15" s="33"/>
      <c r="I15" s="33"/>
      <c r="J15" s="33">
        <f>E15*15/55-E15</f>
        <v>-570.1309090909092</v>
      </c>
      <c r="K15" s="33">
        <f>E15/55*15</f>
        <v>213.79909090909092</v>
      </c>
      <c r="L15" s="33">
        <f>E15/55*15</f>
        <v>213.79909090909092</v>
      </c>
      <c r="M15" s="33">
        <f>D15/55*10</f>
        <v>142.53272727272727</v>
      </c>
    </row>
    <row r="16" spans="1:15" x14ac:dyDescent="0.2"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4" x14ac:dyDescent="0.2">
      <c r="A17">
        <v>7</v>
      </c>
      <c r="B17" t="s">
        <v>42</v>
      </c>
      <c r="C17">
        <v>62</v>
      </c>
      <c r="D17" s="33"/>
      <c r="E17" s="33">
        <v>76.38</v>
      </c>
      <c r="F17" s="33"/>
      <c r="G17" s="33"/>
      <c r="H17" s="33"/>
      <c r="I17" s="33"/>
      <c r="J17" s="33">
        <f>-E17/3*2</f>
        <v>-50.919999999999995</v>
      </c>
      <c r="K17" s="33">
        <f>E17/3</f>
        <v>25.459999999999997</v>
      </c>
      <c r="L17" s="33">
        <v>0</v>
      </c>
      <c r="M17" s="33">
        <f>E17/3</f>
        <v>25.459999999999997</v>
      </c>
    </row>
    <row r="18" spans="1:14" x14ac:dyDescent="0.2"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4" x14ac:dyDescent="0.2">
      <c r="A19">
        <v>8</v>
      </c>
      <c r="B19" t="s">
        <v>31</v>
      </c>
      <c r="C19">
        <f>(15*2)+10+10+10+12</f>
        <v>72</v>
      </c>
      <c r="D19" s="33"/>
      <c r="E19" s="33">
        <f>C19</f>
        <v>72</v>
      </c>
      <c r="F19" s="33"/>
      <c r="G19" s="33"/>
      <c r="H19" s="33"/>
      <c r="I19" s="33"/>
      <c r="J19" s="33">
        <f>-E19/3*2</f>
        <v>-48</v>
      </c>
      <c r="K19" s="33">
        <f>E19/3</f>
        <v>24</v>
      </c>
      <c r="L19" s="33">
        <f>E19/3</f>
        <v>24</v>
      </c>
      <c r="M19" s="33"/>
    </row>
    <row r="20" spans="1:14" x14ac:dyDescent="0.2"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4" x14ac:dyDescent="0.2">
      <c r="A21">
        <v>9</v>
      </c>
      <c r="B21" t="s">
        <v>32</v>
      </c>
      <c r="C21" s="9">
        <v>390</v>
      </c>
      <c r="D21" s="33">
        <f>C21/B1</f>
        <v>469.87951807228916</v>
      </c>
      <c r="F21" s="33"/>
      <c r="G21" s="33">
        <f>D21</f>
        <v>469.87951807228916</v>
      </c>
      <c r="H21" s="33"/>
      <c r="I21" s="33"/>
      <c r="J21" s="33">
        <f>G21/3</f>
        <v>156.62650602409639</v>
      </c>
      <c r="K21" s="33">
        <f>G21/3</f>
        <v>156.62650602409639</v>
      </c>
      <c r="L21" s="33">
        <f>(D21/3)-G21</f>
        <v>-313.25301204819277</v>
      </c>
    </row>
    <row r="22" spans="1:14" x14ac:dyDescent="0.2">
      <c r="D22" s="33"/>
      <c r="F22" s="33"/>
      <c r="G22" s="33"/>
      <c r="H22" s="33"/>
      <c r="I22" s="33"/>
      <c r="J22" s="33"/>
      <c r="K22" s="33"/>
      <c r="L22" s="33"/>
    </row>
    <row r="23" spans="1:14" x14ac:dyDescent="0.2">
      <c r="A23">
        <v>10</v>
      </c>
      <c r="B23" t="s">
        <v>33</v>
      </c>
      <c r="C23" s="37">
        <v>161.82</v>
      </c>
      <c r="D23" s="33">
        <v>201.7</v>
      </c>
      <c r="F23" s="33">
        <f>D23</f>
        <v>201.7</v>
      </c>
      <c r="G23" s="33"/>
      <c r="H23" s="33"/>
      <c r="I23" s="33"/>
      <c r="J23" s="33">
        <f>F23/3</f>
        <v>67.233333333333334</v>
      </c>
      <c r="K23" s="33">
        <f>(F23/3)-F23</f>
        <v>-134.46666666666664</v>
      </c>
      <c r="L23" s="33">
        <f>F23/3</f>
        <v>67.233333333333334</v>
      </c>
    </row>
    <row r="24" spans="1:14" x14ac:dyDescent="0.2">
      <c r="D24" s="33"/>
      <c r="E24" s="33" t="s">
        <v>2</v>
      </c>
      <c r="F24" s="33"/>
      <c r="G24" s="33"/>
      <c r="H24" s="33"/>
      <c r="I24" s="33"/>
      <c r="J24" s="33"/>
      <c r="K24" s="33"/>
      <c r="L24" s="33"/>
      <c r="M24" s="33"/>
    </row>
    <row r="25" spans="1:14" x14ac:dyDescent="0.2">
      <c r="A25">
        <v>11</v>
      </c>
      <c r="B25" t="s">
        <v>37</v>
      </c>
      <c r="C25">
        <v>265.12</v>
      </c>
      <c r="D25" s="33">
        <v>331.36</v>
      </c>
      <c r="E25" s="33"/>
      <c r="F25" s="33">
        <f>D25</f>
        <v>331.36</v>
      </c>
      <c r="G25" s="33"/>
      <c r="H25" s="33"/>
      <c r="I25" s="33"/>
      <c r="J25" s="33">
        <f>F25/2</f>
        <v>165.68</v>
      </c>
      <c r="K25" s="33">
        <f>(F25/2)-F25</f>
        <v>-165.68</v>
      </c>
      <c r="L25" s="33"/>
      <c r="M25" s="33"/>
    </row>
    <row r="26" spans="1:14" x14ac:dyDescent="0.2"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4" ht="13.5" thickBot="1" x14ac:dyDescent="0.25">
      <c r="A27" t="s">
        <v>30</v>
      </c>
      <c r="E27" t="s">
        <v>2</v>
      </c>
      <c r="J27" s="43">
        <f>SUM(J5:J24)</f>
        <v>-299.30806198821261</v>
      </c>
      <c r="K27" s="43">
        <f>SUM(K5:K24)</f>
        <v>119.6274801804621</v>
      </c>
      <c r="L27" s="43">
        <f>SUM(L5:L24)</f>
        <v>-151.63456801230893</v>
      </c>
      <c r="M27" s="43">
        <f>SUM(M5:M24)</f>
        <v>331.31514982005945</v>
      </c>
      <c r="N27" s="33">
        <f>SUM(J27:M27)</f>
        <v>0</v>
      </c>
    </row>
    <row r="28" spans="1:14" ht="13.5" thickTop="1" x14ac:dyDescent="0.2"/>
    <row r="29" spans="1:14" x14ac:dyDescent="0.2">
      <c r="H29" s="39" t="s">
        <v>34</v>
      </c>
      <c r="I29" s="39"/>
      <c r="J29" s="40">
        <f>-(M27+J27)</f>
        <v>-32.007087831846832</v>
      </c>
      <c r="K29" s="39"/>
      <c r="L29" s="40">
        <f>M27+J27</f>
        <v>32.007087831846832</v>
      </c>
      <c r="M29" s="40">
        <f>-M27</f>
        <v>-331.31514982005945</v>
      </c>
      <c r="N29" s="39"/>
    </row>
    <row r="30" spans="1:14" x14ac:dyDescent="0.2">
      <c r="H30" s="39" t="s">
        <v>35</v>
      </c>
      <c r="I30" s="39"/>
      <c r="J30" s="39"/>
      <c r="K30" s="39"/>
      <c r="L30" s="40">
        <f>-K27</f>
        <v>-119.6274801804621</v>
      </c>
      <c r="M30" s="39"/>
      <c r="N30" s="39"/>
    </row>
    <row r="31" spans="1:14" x14ac:dyDescent="0.2">
      <c r="H31" s="39" t="s">
        <v>36</v>
      </c>
      <c r="I31" s="39"/>
      <c r="J31" s="39"/>
      <c r="K31" s="40">
        <f>K27</f>
        <v>119.6274801804621</v>
      </c>
      <c r="L31" s="39"/>
      <c r="M31" s="39"/>
      <c r="N31" s="39"/>
    </row>
    <row r="32" spans="1:14" x14ac:dyDescent="0.2">
      <c r="H32" s="39" t="s">
        <v>17</v>
      </c>
      <c r="I32" s="39"/>
      <c r="J32" s="41">
        <f>M27</f>
        <v>331.31514982005945</v>
      </c>
      <c r="K32" s="42"/>
      <c r="L32" s="42"/>
      <c r="M32" s="42"/>
      <c r="N32" s="42"/>
    </row>
    <row r="33" spans="8:14" x14ac:dyDescent="0.2">
      <c r="H33" s="39"/>
      <c r="I33" s="39"/>
      <c r="J33" s="40">
        <f>SUM(J29:J32)</f>
        <v>299.30806198821261</v>
      </c>
      <c r="K33" s="40">
        <f>SUM(K29:K32)</f>
        <v>119.6274801804621</v>
      </c>
      <c r="L33" s="40">
        <f>SUM(L29:L32)</f>
        <v>-87.620392348615269</v>
      </c>
      <c r="M33" s="40">
        <f>SUM(M29:M32)</f>
        <v>-331.31514982005945</v>
      </c>
      <c r="N33" s="40">
        <f>SUM(J33:M33)</f>
        <v>0</v>
      </c>
    </row>
    <row r="36" spans="8:14" x14ac:dyDescent="0.2">
      <c r="J36" s="34">
        <f>325.74+J27</f>
        <v>26.431938011787395</v>
      </c>
      <c r="K36" s="34">
        <f>K27</f>
        <v>119.6274801804621</v>
      </c>
      <c r="L36" s="34">
        <f>L27</f>
        <v>-151.63456801230893</v>
      </c>
      <c r="M36" s="34">
        <f>M27-325.74</f>
        <v>5.5751498200594369</v>
      </c>
      <c r="N36" s="33">
        <f>SUM(J36:M36)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G43" sqref="G43"/>
    </sheetView>
  </sheetViews>
  <sheetFormatPr defaultRowHeight="12.75" x14ac:dyDescent="0.2"/>
  <sheetData>
    <row r="1" spans="1:9" x14ac:dyDescent="0.2">
      <c r="A1" s="18">
        <v>686.5</v>
      </c>
      <c r="B1">
        <f>(D1*3)+D2</f>
        <v>55</v>
      </c>
      <c r="C1" s="18">
        <f>A1/B1</f>
        <v>12.481818181818182</v>
      </c>
      <c r="D1">
        <v>15</v>
      </c>
      <c r="E1" s="19">
        <f>G1/A1</f>
        <v>0.22694214876033061</v>
      </c>
      <c r="F1" s="20">
        <f>E1*H1</f>
        <v>0.68082644628099187</v>
      </c>
      <c r="G1" s="21">
        <f>C1*C1</f>
        <v>155.79578512396697</v>
      </c>
      <c r="H1" s="20">
        <v>3</v>
      </c>
      <c r="I1" s="21">
        <f>G1*H1</f>
        <v>467.38735537190087</v>
      </c>
    </row>
    <row r="2" spans="1:9" ht="17.25" x14ac:dyDescent="0.4">
      <c r="A2" s="31">
        <f>D10</f>
        <v>97.43</v>
      </c>
      <c r="D2">
        <v>10</v>
      </c>
      <c r="E2" s="19">
        <f>G2/A1</f>
        <v>0.18181818181818182</v>
      </c>
      <c r="F2" s="20">
        <f>E2*H2</f>
        <v>0.18181818181818182</v>
      </c>
      <c r="G2" s="21">
        <f>C1*D2</f>
        <v>124.81818181818183</v>
      </c>
      <c r="H2" s="20">
        <v>1</v>
      </c>
      <c r="I2" s="22">
        <f>G2*H2</f>
        <v>124.81818181818183</v>
      </c>
    </row>
    <row r="3" spans="1:9" x14ac:dyDescent="0.2">
      <c r="A3" s="27">
        <f>A1+A2</f>
        <v>783.93000000000006</v>
      </c>
      <c r="E3" s="20"/>
      <c r="F3" s="23">
        <f>SUM(F1:F2)</f>
        <v>0.86264462809917375</v>
      </c>
      <c r="G3" s="20" t="s">
        <v>7</v>
      </c>
      <c r="H3" s="20"/>
      <c r="I3" s="24">
        <f>I1+I2</f>
        <v>592.20553719008274</v>
      </c>
    </row>
    <row r="5" spans="1:9" ht="15" x14ac:dyDescent="0.25">
      <c r="A5" s="9"/>
      <c r="B5" s="25" t="s">
        <v>8</v>
      </c>
      <c r="C5" s="26" t="s">
        <v>9</v>
      </c>
      <c r="D5" s="9"/>
      <c r="E5" s="9"/>
      <c r="F5" s="9"/>
    </row>
    <row r="6" spans="1:9" x14ac:dyDescent="0.2">
      <c r="A6" s="9" t="s">
        <v>10</v>
      </c>
      <c r="B6" s="27">
        <f>A1/B1</f>
        <v>12.481818181818182</v>
      </c>
      <c r="C6" s="28" t="s">
        <v>11</v>
      </c>
      <c r="D6" s="29">
        <f>(A3*D1)/B1</f>
        <v>213.79909090909092</v>
      </c>
      <c r="E6" s="9">
        <f>H1</f>
        <v>3</v>
      </c>
      <c r="F6" s="29">
        <f>D6*E6</f>
        <v>641.39727272727282</v>
      </c>
    </row>
    <row r="7" spans="1:9" ht="17.25" x14ac:dyDescent="0.4">
      <c r="A7" s="9" t="s">
        <v>12</v>
      </c>
      <c r="B7" s="27">
        <f>B6</f>
        <v>12.481818181818182</v>
      </c>
      <c r="C7" s="28" t="s">
        <v>13</v>
      </c>
      <c r="D7" s="29">
        <f>(A3*D2)/B1</f>
        <v>142.5327272727273</v>
      </c>
      <c r="E7" s="9">
        <f>H2</f>
        <v>1</v>
      </c>
      <c r="F7" s="30">
        <f>D7*E7</f>
        <v>142.5327272727273</v>
      </c>
    </row>
    <row r="8" spans="1:9" x14ac:dyDescent="0.2">
      <c r="A8" s="9"/>
      <c r="B8" s="9"/>
      <c r="C8" s="9"/>
      <c r="D8" s="9"/>
      <c r="E8" s="9"/>
      <c r="F8" s="29">
        <f>SUM(F6:F7)</f>
        <v>783.93000000000006</v>
      </c>
    </row>
    <row r="10" spans="1:9" x14ac:dyDescent="0.2">
      <c r="A10" t="s">
        <v>40</v>
      </c>
      <c r="D10" s="18">
        <v>97.43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2014 - 21 days Budget</vt:lpstr>
      <vt:lpstr>1st shared costs 2014</vt:lpstr>
      <vt:lpstr>2nd shared costs 2014</vt:lpstr>
      <vt:lpstr>2014 Flights Milan</vt:lpstr>
      <vt:lpstr>Accommodation_Italy</vt:lpstr>
      <vt:lpstr>Shared costs 2012</vt:lpstr>
      <vt:lpstr>Rental car contributions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cp:lastPrinted>2012-01-15T20:44:42Z</cp:lastPrinted>
  <dcterms:created xsi:type="dcterms:W3CDTF">2012-01-14T01:56:35Z</dcterms:created>
  <dcterms:modified xsi:type="dcterms:W3CDTF">2014-07-28T08:52:08Z</dcterms:modified>
</cp:coreProperties>
</file>